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B1E3606-99CF-4960-9FD0-9C479FC8EA81}"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E127" i="2" l="1"/>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<sst xmlns="http://schemas.openxmlformats.org/spreadsheetml/2006/main" count="40395" uniqueCount="11771">
  <si>
    <t>Índice onomástico anual · Gazeta de Madrid</t>
  </si>
  <si>
    <t>Números 1 a 115 · 2 de enero–29 de diciembre de 1807</t>
  </si>
  <si>
    <t>Registros: 4.983</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</si>
  <si>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</si>
  <si>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</si>
  <si>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</si>
  <si>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</si>
  <si>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</si>
  <si>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</si>
  <si>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</si>
  <si>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</si>
  <si>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</si>
  <si>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</si>
  <si>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</si>
  <si>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</si>
  <si>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</si>
  <si>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Aalbers</t>
  </si>
  <si>
    <t>Citado en un aviso sobre fallecimiento, parentesco, haberes o derechos de herederos.</t>
  </si>
  <si>
    <t>Avisos y anuncios</t>
  </si>
  <si>
    <t>12 de mayo de 1807</t>
  </si>
  <si>
    <t>Transcripción del OCR histórico; compruebe la grafía en el facsímil.</t>
  </si>
  <si>
    <t>un muerto y n heridos: los holandeses 12 muertos y 39 heridos, entre estos ei capitán de ia fragata Mr. Aalbers, que murió de resultas. Se asegura que el exército ingles, que ha de embarcarse en Yarmoutk para el Báltico, á las órdenes del lord Cathcart;,se compondrá de 40$ hombres, y que su</t>
  </si>
  <si>
    <t>Cotejar OCR</t>
  </si>
  <si>
    <t>Aatonio Navarrete</t>
  </si>
  <si>
    <t>Mencionado en un anuncio particular, económico o judicial.</t>
  </si>
  <si>
    <t>26 de mayo de 1807</t>
  </si>
  <si>
    <t>118. Quien quisiere hacer postura á qualquiera de dichas fincas, lo practicará por la escribanía de D. Aatonio Navarrete; ad virtiéndose que para su remate está señalado el dia 6 de J unió próxtmo; Por providencia de f&gt;. Juan Pedro de Martino, comisionado regio para la venta de bienes eclesiásticos</t>
  </si>
  <si>
    <t>Abad de Bexault-Bercastel</t>
  </si>
  <si>
    <t>Mencionado en una noticia, disposición o aviso de España.</t>
  </si>
  <si>
    <t>Noticias de España</t>
  </si>
  <si>
    <t>6 de febrero de 1807</t>
  </si>
  <si>
    <t>os tiempos presentes,, escrita en francés y dedicada al Rey Cristianismo por el Abad de Bexault-Bercastel, Canónigo dé bToyon, traducida é ilustrada con notas pertenecientes á España : tomo 17, que comprehcnde desde el principio dél luteranismo en el año de 1517 hasta la apertura del Concilio d</t>
  </si>
  <si>
    <t>Abad y Cistue, Manuel</t>
  </si>
  <si>
    <t>Manuel Abad y Cistue</t>
  </si>
  <si>
    <t>Mencionado en un nombramiento, ascenso, concesión o disposición oficial.</t>
  </si>
  <si>
    <t>Nombramientos y disposiciones</t>
  </si>
  <si>
    <t>24 de abril de 1807</t>
  </si>
  <si>
    <t>cimientos en esté arzobispado, dio las disposiciones oportunas, y comisionó para que se realizase á^D. Manuel Abad y Cistue, teniente corregidor letrado por S. M. de la ciudad deGua-v dalaxára,, que.llevó: á .efecto la.obri proyectada conaprobacion.de dicho señór ministro* y en elMi-a. u°. dehpríesente</t>
  </si>
  <si>
    <t>Abad, Manuel</t>
  </si>
  <si>
    <t>Manuel Abad</t>
  </si>
  <si>
    <t>20 de marzo de 1807</t>
  </si>
  <si>
    <t>nciaria-de ía catedral de VaSlaiolid de Mechoacan, vacante por‘lallécimieotode D. Vicente Gaibga, á D. Manuel Abad yQueypo, sacristán mayor de la ciudad de Guanajuato: para la doctoral de la metropolitana de Caracas^* que vacó por muerte de D. Juan Rafael Rodríguez ,.á D. Domingo .Rían—, din , r</t>
  </si>
  <si>
    <t>7 de abril de 1807</t>
  </si>
  <si>
    <t>riquez Calderón y D. Josef Martínez: los gefes de trozo D. Manuel de la Cámara, D. Josef Fernandez, D. Manuel Abad, D. Manuel Ferrando, D. Alexandro Lagoa, D. Sebastian Fernandez de Navarrete, D. Carlos Van-Zoelen, y los caballeros seminaristas D. Luis Berganzá, D. Bonifacio Olivencia, D. Bern</t>
  </si>
  <si>
    <t>Abad, Ramón</t>
  </si>
  <si>
    <t>Ramón Abad</t>
  </si>
  <si>
    <t>1 de septiembre de 1807</t>
  </si>
  <si>
    <t>Montes , D. Josef Luanco, D. Matías Espantoso» D. Andrés González Diez, D. Gaspar de Soto y Parga, D. Ramón Abad» D. Josef Jenér, D. Angel Selisis Palomo , D. Francisco Xavier Rivadulla y D. Gregorio Calderón y Durango: en geometría elemental D. Josef Ordavidcluz, D. Manuel Cedrón, D. Antoni</t>
  </si>
  <si>
    <t>Abbot</t>
  </si>
  <si>
    <t>Mencionado en una noticia extranjera.</t>
  </si>
  <si>
    <t>Noticias extranjeras</t>
  </si>
  <si>
    <t>17 de julio de 1807</t>
  </si>
  <si>
    <t>exe gobernar por alguna influencia capaz de corromperle; y este es el motivo, por qué doy mi voto á Mr. Abbot. ” Corren voces de que una embarcación procedente del Elba ha traído la noticia de que el exército francés de Polonia, atacado en toda su línea, ha rechazado al de los aliados; y</t>
  </si>
  <si>
    <t>21 de julio de 1807</t>
  </si>
  <si>
    <t>os comisarios ;tenian orden para reconocer y confirmar la elección de la cámara. .Entonces continuó Mr. Abbot, diciendo: „Milores: agradezco como es justo esta nueva prueba del favor de S. M., y recibo este testimonio</t>
  </si>
  <si>
    <t>Abbot, Carlos</t>
  </si>
  <si>
    <t>Carlos Abbot</t>
  </si>
  <si>
    <t>la cámara elegir para orador á Mr. Cárlos Abbot, que lo era también en el parlamento último. Mr. fiankes y otros muchos miembros han apoyado la propuesta, la qual ha sido aprobada unánimemente. Quando votó Mr. Calcraft, uno de</t>
  </si>
  <si>
    <t>Abéoího María-de</t>
  </si>
  <si>
    <t>.$V4f . ...... deán y canónigo de aquélla iglesia, y D. Abéoího María-de lingo y Molina , arcediano titular de ella; y padrino el limo, cabildo de aquellas iglesia.,. Fiie extraordinario el concurso á aquella religiosa ceremonia, no vista allí* cerca d</t>
  </si>
  <si>
    <t>Acevedo, Juan Nepomuceno</t>
  </si>
  <si>
    <t>Juan Nepomuceno Acevedo</t>
  </si>
  <si>
    <t>31 de julio de 1807</t>
  </si>
  <si>
    <t>Ribera; á capitanes de fusileros al teniente agregado D. Ignacio María de Lara,yá los subtenientes D. Juan Nepomuceno Acevedo, de granaderos, y D. Juan Nepomuceno Tenreyro, y ai subteniente de granaderos del batallón de milicias disciplinadas de Campeche D. Juan Esteban Arfian; á subteniente de granadero</t>
  </si>
  <si>
    <t>Achard</t>
  </si>
  <si>
    <t>19 de junio de 1807</t>
  </si>
  <si>
    <t>o hubo en Kunnern, en Silesia, un incendio que ha causado gravísimos perjuicios; el célebre químico Mr. Achard, director de la academia de Berlín, ha sufrido una pérdida de gran consideración con la ruina de todos los edificios y máquinas que habia en sus fábricas de azúcar de remolacha. S</t>
  </si>
  <si>
    <t>Acosta, Antonio</t>
  </si>
  <si>
    <t>Antonio Acosta</t>
  </si>
  <si>
    <t>Incluido en la relación de haberes de individuos dados de baja del Regimiento de Valencia.</t>
  </si>
  <si>
    <t>Relaciones militares y haberes</t>
  </si>
  <si>
    <t>21 de abril de 1807</t>
  </si>
  <si>
    <t>Supl., p. 1</t>
  </si>
  <si>
    <t>es}d. 6 f 8 ... (j. Antonio Acosta ...... del miimo ..... Sevilla .......................... 1796 .. PresiJ. 8 20 ... ~7. Antonio Marti ........ dt: Sa1vador.•• Canales de S. I.. elipe ......</t>
  </si>
  <si>
    <t>Acosta, Gregorio</t>
  </si>
  <si>
    <t>Gregorio Acosta</t>
  </si>
  <si>
    <t>20 de enero de 1807</t>
  </si>
  <si>
    <t>el Rey promover á Capitán al T niente D.-Josef María Maestre y Pintoá Tenientes, á los Subtenientes D. Gregorio Acosta, D. Manuel Morales y D. Jmn Gregorio Nieves: &amp; Subtenientes al Cadete D. Juan Nepomuceno Rabadan, á D. Josef María Maestre y Díaz, y D. Josef Vicente Campuzaoo: á Subteniente de b</t>
  </si>
  <si>
    <t>Adair</t>
  </si>
  <si>
    <t>30 de enero de 1807</t>
  </si>
  <si>
    <t>iplomáticas,' embaxadores tan hábiles como Ulises. Y ¿en qué vino á parar todo? En enviar á Viena á Mr. Adair, en lugar de Sir Arturo Paget. Este es el fénix que se ha presentado en la escena política; y ¿qué ha hecho? Mientras por una parte se negociaba la paz, por otra se estaban dando</t>
  </si>
  <si>
    <t>9 de junio de 1807</t>
  </si>
  <si>
    <t>pre á expensas de la Hungría, y hará el servicio militar como las demas tropas en tiempo de guerra. Mr. Adair, ministro de Inglaterra, ha sido llamado de su corte. Se cree sin embargo que permanezca en Viena hasta que llegue su sucesor. Mr. Adair es del partido del Lord Grenville, y no oc</t>
  </si>
  <si>
    <t>12 de junio de 1807</t>
  </si>
  <si>
    <t>e^y que los habitantes le han recibido con la mayor alegría/ , Ayer mañana se recibieron pliegos de Mr. Adair, nuestro embaxador en la corte de Viena. Lord G. L. Gower ha salido ésta noche para Peter&amp;burgo, y lordPembrcke para Viena. El almirante Martin pasa al Mediterráneo. El conmodoro</t>
  </si>
  <si>
    <t>Adams</t>
  </si>
  <si>
    <t>3 de febrero de 1807</t>
  </si>
  <si>
    <t>á este género de crimen? Para contestar á esta qiienion es preciso observar que, siendo Presidente Mr. Adams, se promulgó una ley, que declara este género de delito igual á los crímenes de alta traycion.__ Esta ley se halla fundada sobre motivos muy justos; pues se conoce desde luqgo lo</t>
  </si>
  <si>
    <t>Adan</t>
  </si>
  <si>
    <t>Mencionado en un anuncio bibliográfico, artístico o editorial.</t>
  </si>
  <si>
    <t>Libros, estampas y avisos culturales</t>
  </si>
  <si>
    <t>8 de diciembre de 1807</t>
  </si>
  <si>
    <t>sico de la real capilla.__ Asimismo se hallará por quadernos el método de tocar el forte-piano, por Mr. Adan, miembro del conservatorio de música de París, traducido del francés al castellano. __Todas las obras se darán con portadas alusivas á la música, hechas para dicho almacén* EN LA</t>
  </si>
  <si>
    <t>Addington</t>
  </si>
  <si>
    <t>6 de marzo de 1807</t>
  </si>
  <si>
    <t>a y tan gravosa para la nación. Al paso halló modo de insertar el elogio de Mr. Pitt, de su sucesor Mr. Addington, hoy dia lord Sydmouth, y de Mr. Fox. Ostentando, como es costumbre, grandes deseos de paz, pretendió que la nación se halla en estado de sostener la guerra todavía muchos años, s</t>
  </si>
  <si>
    <t>Adell, Alberto</t>
  </si>
  <si>
    <t>Alberto Adell</t>
  </si>
  <si>
    <t>17 de abril de 1807</t>
  </si>
  <si>
    <t>o Nadal, del orden de San Juan, y D. Francisco Alberto Miró: celadores sécula** reí ídem el Sr. Fr. D. Alberto Adell, del orden de San Juan, y D. Vicente Marques; y celadores de las obras de los presos D. Juan Cros, D. Manuel Muñoz, D. Francisco BoschyD. Joaquín Puchalt. Concluí Ja la elección s</t>
  </si>
  <si>
    <t>Adrián</t>
  </si>
  <si>
    <t>10 de marzo de 1807</t>
  </si>
  <si>
    <t>bos cleros, y un inmenso concurso de toda clase de personas. Todo ha merecido la aprobación dei Sr. D. Adrián ívíárcos Martínez, ministro del consejo, encargado de actívatela erección de cementerios en este priorato. r' Murcia ij de febrero. La grande escasez de monte alto y baxo que se e</t>
  </si>
  <si>
    <t>Adrián Marcos Martínez</t>
  </si>
  <si>
    <t>17 de marzo de 1807</t>
  </si>
  <si>
    <t>Santiago, como delegado del Rev. rbispo, prior de Santiago de Uclés; y previa la ¿probación del Sr. D. Adrián Marcos Martínez, ministro del consejo real, y encargado de activar dichos establecimientos, se ha edificado el de esta villa, contiguo á la ermita de nuestra señora de la Concepción, que está sit</t>
  </si>
  <si>
    <t>5 de mayo de 1807</t>
  </si>
  <si>
    <t>tico ordinario de este territorio, y baxo la aprobación correspondiente del señor comisionado regio D. Adrián Marcos Martínez, ministro del consejo rea?l, dispuso se plantease y edificase extramuros el campo santo. Se le ha dado capacidad suficiente aun para los casos de mortandad extraordinaria: tiene s</t>
  </si>
  <si>
    <t>tratando de su construcción. En todo se ha procedido con aprobación del señor ministro del consejo Don Adrián Marcos Martínez, comisionado para el efecto por lo respectivo á este arzobispado. % Madrid 26 de mayo. * S. M. se ba servido nombrar para la dignidad de arcediano titular de la catedral de Almerí</t>
  </si>
  <si>
    <t>7 de julio de 1807</t>
  </si>
  <si>
    <t>Mancha , 18 de jimio. A óonsecjiiencia de las reales ordenes , y de Iá especial que comunico el Sr. D. Adrián Marcos Martínez, del consejo de S. M., ministro comisionado para ia construcción de cementerios en el obispádo- priorato dé Uciés, se verificó dicho religioso establecimiento en esta villa, y se</t>
  </si>
  <si>
    <t>6 de octubre de 1807</t>
  </si>
  <si>
    <t>mes se execütó en esta yilla la bendición del cementerio construido en ella, con aprobación del Sr. D. Adrián Marcos Martínez, ministro del Consejo. Concurrieron á solemnizar este acto el ayuntamiento, cabildo eclesiástico, comunidad de S. Pedro Alcántara, varias hermandades y cofradías, y mucha parte de</t>
  </si>
  <si>
    <t>Adriano Ca</t>
  </si>
  <si>
    <t>29 de mayo de 1807</t>
  </si>
  <si>
    <t>menca del real cuerpo de guardias de Corps ha promovido el Rey á cadete de número al supernumerario D. Adriano Ca«aigneau , y ú supernumerario al guardia D. Luis Sarriac. El Rey se ha servido conferir en el regimiento de infantería de voluntarios de Estado compañía al teniente, graduado de ca</t>
  </si>
  <si>
    <t>Adriano Casaignau</t>
  </si>
  <si>
    <t>anciséó Vígtféufpá Cadete dé número al supernumerario D. Miguel Font, y á supernumerario al guardia D. Adriano Casaignau. _ _ S. M. ha nombrado Ayudante de la división de granaderos provinciales de Castilla la Vieja*al Gapitanr D&gt;; Josef de lá Cruz, Ayudante del regimiento de fnfánt'eVía de las Oéde</t>
  </si>
  <si>
    <t>Adufres, Domingo</t>
  </si>
  <si>
    <t>Domingo Adufres</t>
  </si>
  <si>
    <t>27 de enero de 1807</t>
  </si>
  <si>
    <t>ía titular, que. se. halla vacante;en el Real ■Convento de la Encarnación de Madrid, por ascenso de D. Domingo Adufres á la Capilla Real, al Presbítero D. AntoniórGampos. 1 - El Rey s.ejha'íe.rvido conceder la Comandancia i del tercer batallón del ^egimientonde infantería: de Guadalaxataual Sargen</t>
  </si>
  <si>
    <t>Afzelius</t>
  </si>
  <si>
    <t>4 de agosto de 1807</t>
  </si>
  <si>
    <t>el 24 de mayo, día en que se celebró en Upsal la fiesta secular en honor de Linneo, se fnndó por el Dr. Afzelius up instituto linneano, y se acuñó usa medalla, que tiene á un lado la efigie de Linaeo, y al otro esta inscripción : Natalium mentoriae saeculari V. xxiv maii mdcccvii institutum</t>
  </si>
  <si>
    <t>Ágapito Ramírez de Arellano, Juan</t>
  </si>
  <si>
    <t>Juan Ágapito Ramírez de Arellano</t>
  </si>
  <si>
    <t>11 de septiembre de 1807</t>
  </si>
  <si>
    <t>l junta de hospicio; y la presidió, por ausencia de nuestro ilustrísimo y dignísimo prelado, él Sr. D. Juan Ágapito Ramírez de Arellano, obispo de Gerona, D. Ramón de Lomaña, alcalde mayor de Camprodon, regente de la jurisdicción real de esta villa. El concurso del estado eclesiástico, secular.y regular,’y dé las</t>
  </si>
  <si>
    <t>Agar y Busti, Fernando</t>
  </si>
  <si>
    <t>Fernando Agar y Busti</t>
  </si>
  <si>
    <t>27 de marzo de 1807</t>
  </si>
  <si>
    <t>a real audiencia, eclesiásticos, caballeros y otras personas de distinción. El prior del consulado, D. Fernando Agar y Busti</t>
  </si>
  <si>
    <t>Aglie, Antonio</t>
  </si>
  <si>
    <t>Antonio Aglie</t>
  </si>
  <si>
    <t>8 de septiembre de 1807</t>
  </si>
  <si>
    <t>e Ortega y D. Vicente Ibañez; y las subtenencias que estos dexan á los sargentos primeros veteranos D. Antonio Aglie/ía y D. Ignacio Texer. El dia i.a de octubre próximo se abrirá el curso de estudios en el real colegio de Farmacia de esta corte, á cuyas lecciones tiene resuelto S. M., por real</t>
  </si>
  <si>
    <t>Agnirré, Miguel</t>
  </si>
  <si>
    <t>Miguel Agnirré</t>
  </si>
  <si>
    <t>11 de diciembre de 1807</t>
  </si>
  <si>
    <t>a sita en la villa de Barajas, calle que llaman de los Hidalgos, perteneciente al vínculo que posté D. Miguel Agnirré, como marido de Doña María Eusebia Benot, vecinos dé dicha villa, tasada en 79,846 rs. Quien quisiere hacer postura, acuda ante el Sr. D. León de Sagasta, teniente corregidor dé e</t>
  </si>
  <si>
    <t>Agramuntell, Joaquín</t>
  </si>
  <si>
    <t>Joaquín Agramuntell</t>
  </si>
  <si>
    <t>descalzas de esta villa la emperatriz Doña María de Austria, vacantes, la una por fallecimiento de D. Joaquín Agramuntell, y la otra por haber pasado con destino á la catedral de Toledo D. Daniel Traveria, á Don Fermín Latre, sorchantre de la catedral de Barbastro, y á D. Juan Bautista Tárrega, tenor</t>
  </si>
  <si>
    <t>Agu, Manuel</t>
  </si>
  <si>
    <t>Manuel Agu</t>
  </si>
  <si>
    <t>r muerte de D. Juan Ignacio Gutiérrez, á D. Juan NepomuCeno Cabrera: para la ración que este dexa á D. Manuel Agu-.tin de Guinea, y para la media ración de este á D. Nicolás Cuervo: p2ra otra canongía'de Puerto-Rico, vacante también por fallecimiento de D. Sebastian Conde, á D. Joaquín Valentí</t>
  </si>
  <si>
    <t>Aguado, Joaquín</t>
  </si>
  <si>
    <t>Joaquín Aguado</t>
  </si>
  <si>
    <t>1 de mayo de 1807</t>
  </si>
  <si>
    <t>Chispera. En el real cuerpo de Artillería ha tenido á bien S. M. promover á teniente al subteniente D. Joaquín Aguado. En América. El rey se ha dignado conferir el gobierno militar y político del Darien del Sur, en el nuevo rey no de Granada, á D. Pedro Aguijar , sargento mayor veterano del cuerp</t>
  </si>
  <si>
    <t>Agueda de Arangoiti y Biguri</t>
  </si>
  <si>
    <t>14 de julio de 1807</t>
  </si>
  <si>
    <t>en mandas y legados por dicho Arangoiti 4 favor de sus hermanos y sobrinos, y son: uno de i5o9rs, á Doña Agueda de Arangoiti y Biguri: otro de 150© á Doña Josefa de Arangoiti y Biguri: otro de 30© á su marido D. Francisco de Perea: otro de 50© a D. Domingo de Barrenengoa: otro de 40© á D. Manuel de Landazuri: ot</t>
  </si>
  <si>
    <t>Águiar, Andrés</t>
  </si>
  <si>
    <t>Andrés Águiar</t>
  </si>
  <si>
    <t>18 de agosto de 1807</t>
  </si>
  <si>
    <t>A. Ferrol j5 de julio. No satisfecho el piadoso corazón de nuestro dignísimo diocesano el limo. Sf. D. Andrés Águiar yCaamaño con haber, por med»o de la pastoral que publicó en abril ultimo, excitado los vecinos de la ciudad de Mondoñedo, su residencia, al socorro de los marineros pobres, viudas y</t>
  </si>
  <si>
    <t>Aguijar, Pedro</t>
  </si>
  <si>
    <t>Pedro Aguijar</t>
  </si>
  <si>
    <t>ignado conferir el gobierno militar y político del Darien del Sur, en el nuevo rey no de Granada, á D. Pedro Aguijar , sargento mayor veterano del cuerpo de cazadores de Portobelo. El dia 3 de'noviembre próximo pasado falleció en esta corte, á la edad a'e So años, 7 meses y 9 dias, el Sr. D. Jos</t>
  </si>
  <si>
    <t>Aguilera, Bartolomé</t>
  </si>
  <si>
    <t>Bartolomé Aguilera</t>
  </si>
  <si>
    <t>ambién otra corta porción, superior en blancura y cristalización á la de su marido y del boticario. D. Bartolomé Aguilera, vecino de Marmolejo, cerca de Andújar. Don Pedro Antonio Crespo, vecino de Noblejas. El señor duque de Sorrentino y marques de Salinas, incansable promovedor de varhs prácticas d</t>
  </si>
  <si>
    <t>Agus</t>
  </si>
  <si>
    <t>s. Quien quisiere hacer postura á dichas fincas acuda á la expresada comisión, por la escribanía de D. Agus~tin Blane. El Sr. Intendente-de esta provincia ha aprobado eL segundo remate ¡celebrado -en 18 de:fehrerQ/.ptóxtmo pasado por la audiencia del Sir. D. Diego Gil Fernan•dez, del co</t>
  </si>
  <si>
    <t>Agustín Alonso</t>
  </si>
  <si>
    <t>28 de agosto de 1807</t>
  </si>
  <si>
    <t>dantía al Teniente D. Miguel Hernández; yen el dé Montesa empleo de portaestandarte al sargento i.° D. Agustín Alonso. i En la extracción de la real lotería, execntada el martes 25 del corriente, salieron los números 29, 10, 14, 9 y 12; y con ellos han ganado los jugadores 1.098,30y rs. ! El dia</t>
  </si>
  <si>
    <t>Agustini, Ambrosio</t>
  </si>
  <si>
    <t>Ambrosio Agustini</t>
  </si>
  <si>
    <t>Josef Bianson, cadete del regimiento de infantería de Buenos-Ayres; á D. Francisco Somalo, Idem; á D. Ambrosio Agustini, idem: grados de alféreces de caballería y dragones á D. Pedro Nolasco Arenas, cándete del regimiento de dragones de Buenos-Ayres; á D. Ambrosio Reyna, idem ; á D* Francisco Bailu</t>
  </si>
  <si>
    <t>Aivarez de la Cruz, Miguel</t>
  </si>
  <si>
    <t>Miguel Aivarez de la Cruz</t>
  </si>
  <si>
    <t>de coro y silla alta de la colegiata de Toro, en la diócesi de Zamora, vacante por fallecimiento de D. Miguel Aivarez de la Cruz, á D. Miguel Sánchez de Arcilla, presbítero; y para el beneficio simple servidero del lugar de Hervas, én la diócesi de Plasencia, vacante por muerte de D. Pedro de AguiIar i áb:D</t>
  </si>
  <si>
    <t>Ajon</t>
  </si>
  <si>
    <t>20 de febrero de 1807</t>
  </si>
  <si>
    <t>estatua tiene 5 pies y 10 pulgadas de altura, y es copia de la que hay en el Vaticano. Xa ha hecho. Mr. Ajon, escultor acreditado en Tolosa. ' . ESPAÑA. Madrid 2 6 de febrero. En consideración á los servicios de D. Nicolás Villalba y Figueroa, Capellán del regimiento de caballería de Bor</t>
  </si>
  <si>
    <t>Akeríio Rapsodia</t>
  </si>
  <si>
    <t>10 de noviembre de 1807</t>
  </si>
  <si>
    <t>adornado todo con episodios y digresiones de poliglota erudición que valen mas que el texto: por el Dr. Akeríio Rapsodia , y dedicado á su peluquero D. Torbellino Polvareda. Esta obrita contiene pinturas satíricas de las modas antiguas y modernas, y noticias muy curiosas de antigüedades, siendo sus</t>
  </si>
  <si>
    <t>Alarcon y Roa, Gregorio</t>
  </si>
  <si>
    <t>Gregorio Alarcon y Roa</t>
  </si>
  <si>
    <t>2 de enero de 1807</t>
  </si>
  <si>
    <t>os de Milicias urbanas del Reyno del Perú á Coronel del de infantería de Moquegua al Sargento mayor D. Gregorio Alarcon y Roa; á igual empleo del de caballería de Huanta á D. Domingo de Arana; al mismo en el de dragones de Acari y Chala al Comandante de esquadron D. Bernardo Velarde Calderón; á Comandan^</t>
  </si>
  <si>
    <t>Alaría Esquivel</t>
  </si>
  <si>
    <t>11 de agosto de 1807</t>
  </si>
  <si>
    <t>Zarate, D. Manuel Entreambasaguas, de la misma clase; gtfes de trozo D. J6*5ef Alaría Esquivel, teniente del regimiento de milicias provinciales de Soria, D. Josef Fernandez y D. Sebastian Fernandez de Navarrete, y seminaristas D. Bonifacio Olivencia, D. Juan de Arana y D. Francisco</t>
  </si>
  <si>
    <t>Alavés, Ramón</t>
  </si>
  <si>
    <t>Ramón Alavés</t>
  </si>
  <si>
    <t>28 de abril de 1807</t>
  </si>
  <si>
    <t>subtenencia de bandera en el primer batallón de voluntarios de Barcelona ai cadete del mismo cuerpo D. Ramón Alavés. S. M. se ha servido nombrar sargento mayor del regimiento provincial de Chinchilla, por remoción del de este cuerpo al de la misma clase de Lorca, á D. Félix Ochoa, capitán del r</t>
  </si>
  <si>
    <t>Alayza, Francisco Cayetano</t>
  </si>
  <si>
    <t>Francisco Cayetano Alayza</t>
  </si>
  <si>
    <t>as D. Josef Coquet y Gallardo; y á Subteniente en el esquadron de caballería de Moq^iegua al Cadete D. Francisco Cayetano Alayza. Habiéndose aprobado por el Real Consejo de las. Ordenes el remate celebrado eíí esta Corte de los frutos y rentas pertenecientes al Priorato de Fuentecaliente y Ventillas, Orden</t>
  </si>
  <si>
    <t>Alba, Juan</t>
  </si>
  <si>
    <t>Juan Alba</t>
  </si>
  <si>
    <t>Supl., p. 3</t>
  </si>
  <si>
    <t>• Muert. . 76'''31. Juan Alba ........... ,.•. de Josef., ••.••• Madrideios ............... ~ ••• 180.1 •• Muert. S"6ú.g. JosefOrtiz ........ ~ .... de Manuel .... Torres-t</t>
  </si>
  <si>
    <t>Albarracin, Luis</t>
  </si>
  <si>
    <t>Luis Albarracin</t>
  </si>
  <si>
    <t>e ausentó. Tiene que percibir en Córdoba algunos intereses de mino del canónigo de aquella.catedral D, Luis Albarracin, á quien podrá .acudir si existiere, ó quien de él hubiere causa ó derecho, con poder bástante á legitimar su persona, y entregarse de lo que resulté de cuentas y deba haber. .lib</t>
  </si>
  <si>
    <t>Albelda, Juan Bautista</t>
  </si>
  <si>
    <t>Juan Bautista Albelda</t>
  </si>
  <si>
    <t>tes dé bandera en el de Mallorca al sargento primero de granaderos £&gt;. Antonio» Galian, y al cadete D. Juan Bautista Albelda. S. M. se ha servido nombrar subteniente de artilleros 4' caballo á Óoñ Juan Llinas, que lo era de artilleros á pie. En A mírica. El rey se ha servido nombrar para la dignidad dé'</t>
  </si>
  <si>
    <t>Alberola, Juan Bautista</t>
  </si>
  <si>
    <t>Juan Bautista Alberola</t>
  </si>
  <si>
    <t>edo, vacante por haber cumplido su término y año mas de próroga en ella, que tuve á bien conceder á D. Juan Bautista Alberola, nombro á D. Juan Víctor Navarro.” S. M. se ha servido nombrar para una canongía de la metropolitana de Zaragoza, vacante por muerte de D. Pedro Alonso de la Vega, á D. Ramón Marí</t>
  </si>
  <si>
    <t>15 de mayo de 1807</t>
  </si>
  <si>
    <t>f Lostau. S. M. se ha dignado nombrar para el corregimiento de letras de. la ciudad de -Bujalance á D. Juan Bautista Alberola; para igual corregimiento de la villa de Molina de Aragón ú D. Joan Agustín Vallarínoy Pomar: para la vara de alcalde mayor de la ciudad del Puerto de. Santa María á D. Ignacio Gi</t>
  </si>
  <si>
    <t>Alcalá Gaiiano, Antonio</t>
  </si>
  <si>
    <t>Antonio Alcalá Gaiiano</t>
  </si>
  <si>
    <t>de S. Carlos, núm. 1, manz. 39, tasada en 139,250 rs. 8 mrs., acuda ante el señor alcalde de corte D. Antonio Alcalá Gaiiano, por la escribanía de provincia de D. Carlos Rodríguez de Moya; previniéndose que para su remate está señalado el martes 17 del corriente. Por la audiencia del Sr. D. Torquato Ant</t>
  </si>
  <si>
    <t>Alcalá Galiano Arias y Vargas, Agustín</t>
  </si>
  <si>
    <t>Agustín Alcalá Galiano Arias y Vargas</t>
  </si>
  <si>
    <t>16 de enero de 1807</t>
  </si>
  <si>
    <t>ela y Andrada, D. Juan Perez Dávila Cabredo y XiVnenez, D. Antonio Primó dé Ribera Oítiz de Pinedo, D. Agustín Alcalá Galiano Arias y Vargas, Don Juan Giiiral Muñoz de Salazar y Gamiz, y D. Francisco Cárdenas Villavi'-í céricío y Dávila. ~ ‘ ' cosen;::; Con Real-permiso, y á beneficio de los pobres enfermos de los Real</t>
  </si>
  <si>
    <t>Alcalá Galiano, Antonio</t>
  </si>
  <si>
    <t>Antonio Alcalá Galiano</t>
  </si>
  <si>
    <t>3 de julio de 1807</t>
  </si>
  <si>
    <t>que no han de tener efecto sin que preceda la aprobación de su ¡lustrísima. Por providencia del Sr. D. Antonio Alcalá Galiano, alcalde de casa y corte, y á voluntad de su dueño, se saca á pública subasta, por el término de 30 dias, una casa nuevamente construida, sita en la calle del Ave María, esquina á</t>
  </si>
  <si>
    <t>14 de agosto de 1807</t>
  </si>
  <si>
    <t>3 gazetas , para que ninguno pueda alegar ignorancia. ~ : • VENTA JÜDICIAÍ. Por providencia del Sr. D. Antonio Alcalá Galiano , alcalde de casa y corte, á voluntad de su dueño,&lt;se vuelve á sacar á pública subasta, por término de 15 dias contados desde 5 del corriente, la casa nuevamente construida en la</t>
  </si>
  <si>
    <t>desde 31 de agosto último, á la escribanía de D. Antonio López de Salazar. Por providencia del Sr. D. Antonio Alcalá Galiano, alcalde de casa y corte, se ha señalado para el remate de una casa sita en la corredera de S. Pablo, manzana 449, núm. 22, tasada en 87,032 rs., el martes 15 del corriente en la</t>
  </si>
  <si>
    <t>9 de octubre de 1807</t>
  </si>
  <si>
    <t>ermco. ■ ■ •- ’ ■ - '\ - \f ■ •• ’■* ' ' ■ AVISO.-- - •; ... ' Por el júzgádo de provincia dél Sr*. D. Antonio Alcalá Galiano, alcalde de ca'sa y corte, y escribanía dé D. Carlos «Rodríguez- de Moya , se -hallan pendientes autos de pedimento de Doña María Antonia de Círia y D. Alberto Arias del Yerro, ve</t>
  </si>
  <si>
    <t>á la escribanía del número de D. Josef Antonio Canosa. avisos. Por el juzgado de provincia de! Sr. D. Antonio Alcalá Galiano, alcalde de casa y corte, y escribanía de D. Caries Rodríguez de Meya, se hallan pendientes autos á pedimento de Doña María Antonia deCiria y D. Alberto Arias del Yerro, vecinos d</t>
  </si>
  <si>
    <t>Alcalá Galicno, Antonio</t>
  </si>
  <si>
    <t>Antonio Alcalá Galicno</t>
  </si>
  <si>
    <t>róximo pasado, de la intendencia cíe esta provincia, se ha aprobado el remate celebrado ante el Sr. D. Antonio Alcalá Galicno, alcalde de casa y ccrte, en 15 del mismo, de una casa sita en la corredera de San Pablo, núm.22 , manz. 4, retasada en 87,032 rs. 2 mrs., en cuya cantidad se verificó el remate;</t>
  </si>
  <si>
    <t>Alcalá, Manuel Esteban</t>
  </si>
  <si>
    <t>Manuel Esteban Alcalá</t>
  </si>
  <si>
    <t>de la parroquial de Ainzon, diócesis de Zaragoza, vacante por fallecimiento de D. Antonio Perez: á D. Manuel Esteban Alcalá para una canongía de la catedral de Tarazoria, vacante por muerte de D. Lorenzo Perez Cabello, con retención del deanato de la propia catedral, que le confirió S. M. por decreto d</t>
  </si>
  <si>
    <t>Alcañiz, Antonio</t>
  </si>
  <si>
    <t>Antonio Alcañiz</t>
  </si>
  <si>
    <t>rt• . 39 1 ... 2 7. Antonio Alcañiz ..... ueCristóbal.. Benimamet de Valencia. 1801 .. l\iuert. 106... 12. Cabo 1.° Antonio Cañadas.... de Juéln ......... Turne en Granada........ J 803"</t>
  </si>
  <si>
    <t>Alcántara García, Pedro</t>
  </si>
  <si>
    <t>Pedro Alcántara García</t>
  </si>
  <si>
    <t>las obligaciones de 1 os hombres en los diversos estados y puestos que ocupan en Ja sociedad , por D. Pedro Alcántara García: tomo i.°, que contiene la i.a parte. Se halk.rá en la librería de Barco, carrera de S. Gerónimo, á 10 rs. en rústica; y en Pamplona en la de Joaquín Domingo. El director de las a</t>
  </si>
  <si>
    <t>Alcántara Velaz, Pedro</t>
  </si>
  <si>
    <t>Pedro Alcántara Velaz</t>
  </si>
  <si>
    <t>25 de agosto de 1807</t>
  </si>
  <si>
    <t>Baltasar Fernandez, comisario ordenador, y ministro de real hacienda en Mahon; para este destino á D. Pedro Alcántara Velaz, tesorero electo del exército de Galicia; para esta tesorería á D. Juan de Torres y Leis, tesorero de rentas de la provincia de Segovia, y para esta resulta á D. Jayme Amat. NOTIC</t>
  </si>
  <si>
    <t>Alcázar, Ignacio</t>
  </si>
  <si>
    <t>Ignacio Alcázar</t>
  </si>
  <si>
    <t>30 de octubre de 1807</t>
  </si>
  <si>
    <t>1128 Hernández y D. Josef Suarez; y en c! de Caracas á D. Ignacio Alcázar y D. Agustín Rodríguez. En el regimiento de infantería de México s** ha servido el Rey promover á capitán de granaderos al de fu-ileros D. Ventura de Mora; á capitán al ayudante D. Sa</t>
  </si>
  <si>
    <t>Aldao, Francisco</t>
  </si>
  <si>
    <t>Francisco Aldao</t>
  </si>
  <si>
    <t>librado á pedimento de D. Josef Antonio González, como defensor de los bienes dei difunto intestado D. Francisco Aldao, que fue vista de la aduana de aquel puerto, á fin de que se cite y emplace á sus hermanos ó parientes mas inmediatos, para que comparezcan por sí ó apoderado á deducir sus derech</t>
  </si>
  <si>
    <t>Ale, Príncipe</t>
  </si>
  <si>
    <t>Príncipe Ale</t>
  </si>
  <si>
    <t>Mencionado en una noticia de la Gazeta extraordinaria.</t>
  </si>
  <si>
    <t>Gazeta extraordinaria</t>
  </si>
  <si>
    <t>2 de agosto de 1807</t>
  </si>
  <si>
    <t>69 (extraord.)</t>
  </si>
  <si>
    <t>bit 7 de julio ( 2t de junio) de 1807. = Carlos Mauricio Talleyr and\ Príncipe de, B-nuvcnto.zz. El Príncipe Ale xandró Kottrakhi. = El Príncipe Demetrio Labari'jjf de Ros:lojf. Las ratificaciones del presente tratado se cangearon en Tilsit el 9 de julio.</t>
  </si>
  <si>
    <t>Alegría, Juan</t>
  </si>
  <si>
    <t>Juan Alegría</t>
  </si>
  <si>
    <t>9 de enero de 1807</t>
  </si>
  <si>
    <t>Pedto, Dueñas, D. Rafael González y D. Vicente Ferro; á Alféreces á los Cadetes D. Mariano Campana, D. Juan Alegría, D. Angel Mariano Ramírez y D. Martin de Concha; y á Portaestandarte al Cadete D. Manuel Orihuela. En el Regimiento Provincial de dragones de Mechoacan, en el Reyno de Nueva-Españ</t>
  </si>
  <si>
    <t>Aleo, Antonio</t>
  </si>
  <si>
    <t>Antonio Aleo</t>
  </si>
  <si>
    <t>rav. 9 r ... P. Antonio Aleo ......... de Vicente .... Valencia ....................... 1793'. Muert. 145 ... 12 • Cab.l.o Ant.onio Rodriguez. de Francisco. Vilbdiego en Búrgo9.~ .• 1794.. Liccr.c.</t>
  </si>
  <si>
    <t>Alexan, Príncipe</t>
  </si>
  <si>
    <t>Príncipe Alexan</t>
  </si>
  <si>
    <t>28 de julio de 1807</t>
  </si>
  <si>
    <t>S. M. brindó por la salad de la Reyna de Prusia. El dia 29 fue presentado al Emperador Napoleón el Príncipe Alexan</t>
  </si>
  <si>
    <t>Alexandrina, Princesa</t>
  </si>
  <si>
    <t>Princesa Alexandrina</t>
  </si>
  <si>
    <t>23 de enero de 1807</t>
  </si>
  <si>
    <t>ruua ^ia ido á Memel; y se asegura que ha muerto el Príncipe Carlos, hijo tercero del Rey, y que la Princesa Alexandrina está muy de peligro. Se confirma que S. M. Prusiana ha mandado juzgar militarmente á los Comandan ces de Custrin y de Stettin. Con motivo de haberse hecho la paz entre el Emperador</t>
  </si>
  <si>
    <t>Alexandróconde de Coupigny</t>
  </si>
  <si>
    <t>Rey. Asimismo se ha servido S.M. promover á teniente generar de sus exércítos al mariscal de campo D. Alexandróconde de Coupigny, teniente coronel del regímienio.dé reales guardias Valonas: 3 mariscal de campo al brigadier D. Ramón Marimon , sargento mayor, del de reales guardias Es</t>
  </si>
  <si>
    <t>Alexandrowski</t>
  </si>
  <si>
    <t>24 de noviembre de 1807</t>
  </si>
  <si>
    <t>ficial fueron los asuntas de historia y de física que se grataron én presencia del augusto Monarca. Mr. Alexandrowski, uno de los •discípulos, proríunció el elogio de Poshanki. S. M. quedó tan satisfecho de los adelantamientos de los discípulos , que mandó regalar á los profesores 'varias- sortij</t>
  </si>
  <si>
    <t>Alexanjdro Teílo</t>
  </si>
  <si>
    <t>es; y del regimiento1 provincial dé Orense* al Teniente del de infantería dé Voluntarios- de Estado D. Alexanjdro Teílo. • '°in*' - ' / - * •■r í;'!-•* Él Serenísimo Señor Príncipe Generalísimo Almirante.ha admitido, en nombre del Rey nuestro Señor, la oferta dé 40®rs. vn., que para coadyuvar á las</t>
  </si>
  <si>
    <t>Alfonso</t>
  </si>
  <si>
    <t>sita éñqla: plazuela antigua:déla Paja, núm. 2, manz. 298 , tacada en 406,264 rs. acuda-ante el Sr. D. Alfonso• Duran-y -Babaza-' bal, Alcalde de.Casa y Corte, y escribanía dé D. Juan Garrido. ’• Paré pago dé acreedores de una - testamentaría y á voluntad de sus dueños se vende’ úna casa e</t>
  </si>
  <si>
    <t>Alfonso Aiexo de Solis</t>
  </si>
  <si>
    <t>17 de febrero de 1807</t>
  </si>
  <si>
    <t>l orden &amp;c. El dia 11 de diciembre del año anterior falleció en la ciudad de Valencia el Excmo. Sr. D. Alfonso Aiexo de Solis, Wignacourt, Folch de Cardona &amp;c. Duque de Monteílano, Grande de España de primera clase, Gentilhombre de Cámara de S. M. con exercicio, Caballero gran Cruz de la real distinguida</t>
  </si>
  <si>
    <t>Alfonso Albornoz</t>
  </si>
  <si>
    <t>y ai Sargento prímero de granaderos distinguido D. Juan Ignacio Estaola, y abCadete del de .Sevilla D. Alfonso Albornoz, y en el .de Ultóma al Cadete D. Pedro Pons. /ELREYseha servido nombrar Auditor de Guerra&gt;del Exército y Rey</t>
  </si>
  <si>
    <t>Alfonso Duran y Baraiabal</t>
  </si>
  <si>
    <t>man del Congosto, de cabida de 10 aranzadas de á 400 cepas, tasado en 16,862 rs., acuda ante el Sr. D. Alfonso Duran y Baraiabal, alcalde de casa y corte, por la escribanía de D. Juan Garrido, en el término de 30 dias contados desde el 14 del presente. Se ha mandado sacar á pública subasta, por término de 3</t>
  </si>
  <si>
    <t>Alfonso Duran y Barazabal</t>
  </si>
  <si>
    <t>de S. Francisco ,, manz. 119 -éntre jlos néms* 19 ;y -20 &gt; tasada en 61,364 rs. , acuda ante&lt;el Sr. D. Alfonso Duran y Barazabal, del .consejo de S. M., alcalde de su real casa y corte , y cscribamade ÍXJuanGarrido* . Curso- &lt;Je química genera!, aplicada 4 las artes., escrito por D, Josef María de S* Cristó</t>
  </si>
  <si>
    <t>es de S. Miguel y Caballero de Gracia, núm. 2, manz. 2 98, tasada en 406,264 rs., acuda ante el Sr. D. Alfonso Duran y Barazabal, del consejo de S. M-, alcalde de su real casa y corte, por la escribanía de D. Juan Garrido; previniéndose que su remate se ha señalado para el dia 4 de Mayo prójimo en Ja citada</t>
  </si>
  <si>
    <t>ios de S. Francisco , manz. lio , entre los nums. 19 y 20 , tasada en 61,364 rs , acuda ente el Sr. D. Alfonso Duran y Barazabal, alcalde de casa y corte, y escribanía de provincia de D Juan Garrido; previniéndose que su remate se ha señalado para el din 11 de Mayo próximo. El Sr. D. León de Sagasta, tenien</t>
  </si>
  <si>
    <t>nombrado para la plaza del consejo'real, vacante por fallecimiento del señor conde de Isla , al Sr. D Alfonso Duran y Barazabal, alcalde de su real casa y corte ; y para esta resulta á D. Andrés Romero Valdes , oidor de la real audiencia de Cataluña: para la plaza de oidor de la chancíllería de Valladolid,</t>
  </si>
  <si>
    <t>Alfonso Duran y Earazab</t>
  </si>
  <si>
    <t>os se presentarán por la escribanía que exerce D. Melchor Nicolás Truxillo. Por providencia dei Sr. D. Alfonso Duran y Earazab^l,,Alcalde de Casa y Corte, y Juez de la testamentaría de D. Domingo Moreno y Vicario, Agente que; fué del número de Indias, está mandado citar y emplazar á sus acreedores por est</t>
  </si>
  <si>
    <t>Alfonso Gómez Zapata</t>
  </si>
  <si>
    <t>17 de noviembre de 1807</t>
  </si>
  <si>
    <t>lustradas con notas castellanas, tan útiles como necesarias para la inteligencia de este autor, por D. Alfonso Gómez Zapata. 4.a edición: un tomo en 8.° Se hallará en la librería de Hurtado. Principios de fisiología por Carlos Luis Dumas, del instituto de Francia, profesor de anatomía y fisiología en M</t>
  </si>
  <si>
    <t>Alfonso Matcelino Gómez</t>
  </si>
  <si>
    <t>dad , valuada en 58^168 rs. Quien quisiere hacer postura, lo executará por la escribanía que exerce D. Alfonso Matcelino Gómez. Por la comisión real de la diócesi de Sevilla, y en virtud de providencia de D. Joaquín Díaz del Hoyo, subdelegado en la ciudad de Xerez de la Frontera para la venta de bienes ec</t>
  </si>
  <si>
    <t>Alfonso Paz Giraldo</t>
  </si>
  <si>
    <t>2 de octubre de 1807</t>
  </si>
  <si>
    <t>urcia, y catedrático ae filosofía; á D. Josef Camó y Heras, maestro de primeras letras en Vich, y á D. Alfonso Paz Giraldo. VENTAS JUDICIALES. El señor intendente de esta provincia, en decreto de 16 de setiembre próximo pasado, ha señalado el término de 30 dias para la mejora del qu»rto de una casa si</t>
  </si>
  <si>
    <t>Alimundó y Flaquer, Miguel</t>
  </si>
  <si>
    <t>Miguel Alimundó y Flaquer</t>
  </si>
  <si>
    <t>23 de junio de 1807</t>
  </si>
  <si>
    <t>cadete D. Josef Pizzorni. S. M. se ha servido nombrar para la cznongía de la catedfai de Méiiorca á D. Miguel Alimundó y Flaquer, capellán de exército agregado al espiado mayor de la plaza de Mahon, vacante por muerte dé D. Rafael Pons; á D. Mariano Lozano para otra de la colegial de Sta. María de la ciudad</t>
  </si>
  <si>
    <t>Alipi, Manuel</t>
  </si>
  <si>
    <t>Manuel Alipi</t>
  </si>
  <si>
    <t>1 de diciembre de 1807</t>
  </si>
  <si>
    <t>a; y capitán, teniente y subteniente en la compañía del presidio del Peten de Itza á D. Juan López, D. Manuel Alipi y D. Camilo Gómez, los nueve últimos vecinos de las respectivas jurisdicciones de dichos cuerpos. A instancia de la real sociedad de Oviedo ha concedido el Serenísimo Señor Príncipe d</t>
  </si>
  <si>
    <t>Allende, Domingo</t>
  </si>
  <si>
    <t>Domingo Allende</t>
  </si>
  <si>
    <t>uel de la Iglesia, D. Benito ¡Correa, Di Bruna Es candon,D. Francisco Pare ja, D. Joref de Miranda, D. Domingo Allende y D. Joaquín Toledo t d alféreces de navio á los de fragata D. Juan Fernandez Vedra, D. Jacinto Butler y D. Federico Lacosse : d alférez de fragata di aventurero Di. Agustín Aldecca \</t>
  </si>
  <si>
    <t>26 de noviembre de 1807</t>
  </si>
  <si>
    <t>105 (extraord.)</t>
  </si>
  <si>
    <t>asala, D. Josef Posadas y D. Jacinto Romárate; los de fragata D. Manuel Iglesias, D. Benito Correa, D. Domingo Allende y D. Josef Miranda; los alféreces de navio D. Federico Lados y D. Jacinto Butler, y los de fragata D. Josef Aldana y D. Martin Asas. Los ataques por los demás puntos de la ciudad fuer</t>
  </si>
  <si>
    <t>Almirante, Príncipe</t>
  </si>
  <si>
    <t>Príncipe Almirante</t>
  </si>
  <si>
    <t>26 de junio de 1807</t>
  </si>
  <si>
    <t>SUR. La dirección de hidrografía acaba de recibir la siguiente noticia, que de órden dei Sermo. Sr. Príncipe Almirante se inserta en la gazeta para conocimiento del público. La fragata de la real Compama de Filipinas, nombrada la Pala, mandada por D. Juan Bautista Monteverde, en la navegación que</t>
  </si>
  <si>
    <t>21 de agosto de 1807</t>
  </si>
  <si>
    <t>s escuelas para enseñar la religión. Informado de todo el Rey nuestro Señor por el Serenísimo Señor Príncipe Almirante, que encargó formar el compendio mas equitativo para los niños, ha man» dado por real decreto de 9 de marzo, y promulgado en 28 de mayo, qué todos los maestros de primeras letras</t>
  </si>
  <si>
    <t>Alomo de Továr</t>
  </si>
  <si>
    <t>evilla, para la plaza de fiscal déí cúrneri de lá chancillería de Granada, vacante por promoción de D. Alomo de Továr á plaza de oficial sexto tercero de la secretaría de Estado y del despacho universal de Gracia y Justicia. Ultimamente, en atención á los méritos y servicios de D. Francisco Xavie</t>
  </si>
  <si>
    <t>Alopeus</t>
  </si>
  <si>
    <t>ener 77© libras esterlinas que la Inglaterra enviaba de subsidio á la Rusia. A las reclamaciones de Mr. Alopeus, ministro de esta última potencia, se ha respondido á nombre del rey de Suecia, que S. M. se entendería sobre este punto con el emperador Alexandro. €e acaban de recibir noticias</t>
  </si>
  <si>
    <t>4 de diciembre de 1807</t>
  </si>
  <si>
    <t>r con el Duina. SUECIA. Helsingborg 2_9 de octubre. S. M. ha dado hoy audiencia al enviado de Rusia Mr. Alopeus, que ha venido aqui de Estokolmo. Acaba también de llegar Mr. Merry, enviado de Inglaterra, de Kiel, adonde había pasado con una comisión para el Príncipe Real de Dinamarca , el q</t>
  </si>
  <si>
    <t>Álvarez Barragana, Diego</t>
  </si>
  <si>
    <t>Diego Álvarez Barragana</t>
  </si>
  <si>
    <t>bién ha concedido S. M. cruces de la real orden española de Cárlbs III á D. Juan Martínez Puiredon, D. Diego Alvarez Barragana y D. JuamJFantin, que, como voluntarios, hicieron servicios de Ja mayor consideración; y los dos últimos están gravemente heridos* A los sargentos y cabos escudos de distinción; y dos</t>
  </si>
  <si>
    <t>Álvarez de Estrada, Pedro</t>
  </si>
  <si>
    <t>Pedro Álvarez de Estrada</t>
  </si>
  <si>
    <t>la real capilla de S. Fernando, sita en la metropolitana de Sevilla , vacante por fallecimiento de D. Pedro Alvarez de Estrada, á D. Josef Antonio Rius y Villacampa, presbítero. El rey se ha servido conferir en el regimiento de infantería de Asturias compañía al ayudante, graduado de capitán, D. Salvador</t>
  </si>
  <si>
    <t>Álvarez de Faria, Juan</t>
  </si>
  <si>
    <t>Juan Álvarez de Faria</t>
  </si>
  <si>
    <t>El Rey se ha servido promover í mariscales de campo de sus exércitos á los brigadieres D. Juan Alvarez de Faria, ayudante del real cuerpo de guardias de Corps; D. Manuel Craiwinckel, sargento mayor del regimiento de reales guardias Valonas; y D. Ramón de Villalba, inspector general de la ca</t>
  </si>
  <si>
    <t>Álvarez de Paria, Juan</t>
  </si>
  <si>
    <t>Juan Álvarez de Paria</t>
  </si>
  <si>
    <t>yudante general del propio real cuerpo; y por ayudantes del detall é instrucción de éi al b igadier D. Juan Álvarez de Paria, coronel del regimiento de cabal'ería de cazadores voluntarios de Españay á D. Martin de la Carrera, capitán de los esquadrones ligeros de la real brigada de Carabineros, También</t>
  </si>
  <si>
    <t>Álvarez Guerra, Juan</t>
  </si>
  <si>
    <t>Juan Álvarez Guerra</t>
  </si>
  <si>
    <t>francés por una socieda d de agrónomos; ordenado por el abate Rozier, y traducido al castellano por D. Juan Alvarez Guerra, individuo de mérito en la clase de agricultura de la real sociedad económica’de Madrid; 16 tomos en 4.0 con 140 láminas de animales, plantas, frutas, utensilios, máquinas y edifi</t>
  </si>
  <si>
    <t>Álvarez, Agustín</t>
  </si>
  <si>
    <t>Agustín Álvarez</t>
  </si>
  <si>
    <t>3 de marzo de 1807</t>
  </si>
  <si>
    <t>ero, á D. Francisco Melgarejo al segundo. En la del mismo idioma, del cargo de D. Josef Sabatier, á D. Agustín Alvarez al primero, á D. Narciso Caries al segundo. En la de lengua inglesa, del cargo de D. TomasKaorney , á D. Rafael Sousa.al primero, á D* Cárlos Guernica al segundo.__ Habiendo remit</t>
  </si>
  <si>
    <t>Alvino Mexía, Pedro</t>
  </si>
  <si>
    <t>Pedro Alvino Mexía</t>
  </si>
  <si>
    <t>18 de diciembre de 1807</t>
  </si>
  <si>
    <t>ara el deanato de la iglesia de Comayagua, vacante por fallecimiento de D. Josef Joaquín Beltran, á D. Pedro Alvino Mexía; para el arcedianato que este dexa al chantre Don Josef María S. Martin; para la chantría ai maestrescuela D. Juan Francisco Márquez, y para esta resulta al canónigo doctoral D. J</t>
  </si>
  <si>
    <t>Alzaga, Martín</t>
  </si>
  <si>
    <t>Martín Alzaga</t>
  </si>
  <si>
    <t>territorio ocupado por los ingleses. Desde allí escribió al alcalde de primer voto de Buenos-Ayres D. Martin Alzaga* diciéndole * entre otras cosas: ,, No ignora usted el modo de que he sido tratado;,la inobservancia de todas las promesas que se me hicieron de palabra y por escrito; que he sido</t>
  </si>
  <si>
    <t>Amarca, Pedro</t>
  </si>
  <si>
    <t>Pedro Amarca</t>
  </si>
  <si>
    <t>etiembre. El Rey se ha servido promover á teniente en el regimiento suizo de Traxler al subteniente D. Pedro Amarca; á subteniente al cadete D Luis Schwanden ; y en el de Wimpflea á subteniente de bandera al cadete Don Josef Wirtz. S. M. se ha servido conferir compañías en los regimientos de dr</t>
  </si>
  <si>
    <t>Amat, Félix</t>
  </si>
  <si>
    <t>Félix Amat</t>
  </si>
  <si>
    <t>González, calle de Atocha. .Resúmen, ó Indice sumario de la historia eclesiástica, por el limo. Sr. D. Félix Amat. Se hallará en la librería de la viuda de Quiroga, calle de las Carretas; en Barcelona en la de la viuda de Pía, en Cervera en la de Verdaguer, en Granada en la de Cea, en Oviedo</t>
  </si>
  <si>
    <t>22 de diciembre de 1807</t>
  </si>
  <si>
    <t>el arriendo. 1IBROS. Tratado de la iglesia de Jesucristo, ó Historia eclesiástica, por el Timo. Sr. D. Félix Amat, arzobispo de Palmira, abad de S* Ildefonso, confesor del Rey</t>
  </si>
  <si>
    <t>Americano Wiilkinson, General</t>
  </si>
  <si>
    <t>General Americano Wiilkinson</t>
  </si>
  <si>
    <t>compuesto, en virtud de un convenio hecho entre ios Gobernadores Españoles Cordero y Herrera , y el General Americano Wiilkinson. Per este convenio parece que ni la España ni los Estados-Unidos Aniericanos ocuparán el territorio que ha dado motivo á las diferencias actuales entre el antiguo- límite y el rió</t>
  </si>
  <si>
    <t>Ametller, Blas</t>
  </si>
  <si>
    <t>Blas Ametller</t>
  </si>
  <si>
    <t>o del Corral, General que fué del orden de S. Bernardo de la congregación de Castilla : grabada por D. Blas Ametller. Se hallará en la calcografía de lá'imprenta Real, y en la portería de S. Bernardo á 1 2 rs. Estampa que representa la reconquista dé Buenos Ay res por los españoles , coa *lós su</t>
  </si>
  <si>
    <t>Sto. Domingo, grabados 4 por D. Manuel Salvador Carmona „ grabador de cámara de S. M., y el 5.0 por D. Blas Ametller. Se hallarán á 2 rs. cada uno en la librería de Escribano, calle de las Carretas, y en la portería de Sto. Tomas. MUSICA. En la librería de Campo, calle de Alcalá, y de Burg-uillo</t>
  </si>
  <si>
    <t>ampa nueva de S. Juan Bautista en su niñez, inventada y dibuxada por Don Juan Galvez, y grabada por D. Blas Ametller, académico de mérito de la real de S. Fernando: en quartilla de marca mayor. Se hallará'á 8 rs. en el despacho de la calcografía en la imprenta real. EN LA IMPRENTA REAL.</t>
  </si>
  <si>
    <t>Amijo, Francisco</t>
  </si>
  <si>
    <t>Francisco Amijo</t>
  </si>
  <si>
    <t>. se ha servido conferir compañías en los regimientos de dragones del Rey y Sagunto á los ayudantes D. Francisco Amijo y D. Josef Barrau, el primero graduado de capitán. En América. En el regimiento de infantería de Nueva-España se ha servido el Rey promover á capitán al teniente D. Antonio Hosta; á t</t>
  </si>
  <si>
    <t>Amilcar Kosinski, General</t>
  </si>
  <si>
    <t>General Amilcar Kosinski</t>
  </si>
  <si>
    <t>27 de febrero de 1807</t>
  </si>
  <si>
    <t>Vístula 40$ hombres» y se han acantonado en las comarcas de Brecie y de Kowal. Posen de enero* , El General Amilcar Kosinski» encargado de organizar las fuerzas prnSiana¡^“ los departamentos de Bromberg y de Manenwerder, ha dirigido *17 osl corriente una proclama á aqnellos habitantes» en la que anuncia</t>
  </si>
  <si>
    <t>Amo, Francisco</t>
  </si>
  <si>
    <t>Francisco Amo</t>
  </si>
  <si>
    <t>el orden siguiente: En la cátedra de agricultura se adjudicó el premio i.° á D. Mateo Seoane: 2.0 á D. Francisco Amo. En la de geografía el i.° ai mismo D. Mateo Seoane; 2.0 á D. Telesforo Barrio: 3.0 á D. Mateo Llanos. El exercicio que al tiempo del ex&amp;men hizo este niño (que aun no ha salido d</t>
  </si>
  <si>
    <t>Amorto Espinar</t>
  </si>
  <si>
    <t>as visitas de su población, que excede de 3© vecinos. Los pretendientes dirigir; n sus memoriales á D. Amorto Espinar, escribano mayor de su ayuntamiento,hasta el gr dé diciembre próximo , dia señalado para nombrar la persona que la ha de excrccr»</t>
  </si>
  <si>
    <t>Anadet</t>
  </si>
  <si>
    <t>15 de diciembre de 1807</t>
  </si>
  <si>
    <t>do de capitán, D. Antonio Prado; y en el de Calatrava empleo de Portaestandarte al sargento primero D. Anadet&lt;&gt; Perez. También se ha dignado $. M. conceder ayudantía en el regimiento de dragones de la Reyna aí teniente D. Andrés Xirnenez : en el de Almanta empleos de alférez al portaguión</t>
  </si>
  <si>
    <t>Anastasio de Isasmendi, Vicente</t>
  </si>
  <si>
    <t>Vicente Anastasio de Isasmendi</t>
  </si>
  <si>
    <t>r para ia dignidad de deán de la nueva catedral de Salta, distrito, del vireynato de Buenos-Ayres á D. Vicente Anastasio de Isasmendi, magistral de la iglesia del Tncuman: para la primera cancngía.á D. Josef Miguel de Castro, cura en el obis. pado del Tucoman, y para la segunda á D. Pedro Aran y Morales, emigrad</t>
  </si>
  <si>
    <t>Anastasio de Sotó</t>
  </si>
  <si>
    <t>13 de marzo de 1807</t>
  </si>
  <si>
    <t>parroquia de S. Martin de Huerta de arriba, en la diócesi de Burgos » vacante por fallecimiento de D. Anastasio de Sotó*, á D. Domingo Minóves. S. M. se ha servido conferir en el regimiento dé infantería dé Tole docompañía ai teniente graduado de capitán D. Josef Paz y Montañez: en el de América te</t>
  </si>
  <si>
    <t>Anastasio Ladrón de Guevara</t>
  </si>
  <si>
    <t>13 de febrero de 1807</t>
  </si>
  <si>
    <t>ha conferido S. M, los Corregimientos de Girón ó Pamplona, Neyba y Tunja, en el Joatt Bastus yFaya, Don Anastasio Ladrón de Guevara y áJL Andrés Pinzón; y la Alcaldía mayor de la ciudad de Nata y villa de los Santos ,, en la provincia de Panamá* á D. Víctor de la Guardia y Ayala. Finalmente ha nombrado el Rey pa</t>
  </si>
  <si>
    <t>Andario, Melchor</t>
  </si>
  <si>
    <t>Melchor Andario</t>
  </si>
  <si>
    <t>sociedad económica de aquella ciudad, en compañía de D. Joaquín Füsell, individuo del mismo cuerpo; D. Melchor Andario, del gremio y claustro de la universidad de Cervera; D. Ramón Sarrais, médico y doctor en cirugía; D. Eugenio Aravaca, médico; D. Tomas de Llanes, teniente coronel de milicias; D.</t>
  </si>
  <si>
    <t>Andarió, Melchor</t>
  </si>
  <si>
    <t>Melchor Andarió</t>
  </si>
  <si>
    <t>lana : D. Simón Argote, secretario de la sociedad económica de Granada, y comisionado por la misma: D. Melchor Andarió, de la referida comisión de literatos: D. Félix de las Cuevas, abogado de los reales consejos: D. Jaan Kearney: D. Josef Manuel del Rio: D. Eugenio de Aravaca, médico: el P. Alexa</t>
  </si>
  <si>
    <t>Andrade, Felipe</t>
  </si>
  <si>
    <t>Felipe Andrade</t>
  </si>
  <si>
    <t>a de Asturias compañía al ayudante, graduado de capitán, D. Salvador Maseres; ayudantía al teniente D. Felipe Andrade; tenencia al subteniente D. Antonio Cas2iioves, y subtenencia de bandera al cadete D. Antonio Sequeyros: en los de Sevilla y América subtenencias de bandera á los cadetes D. Ramón</t>
  </si>
  <si>
    <t>Andrade, Pedro</t>
  </si>
  <si>
    <t>Pedro Andrade</t>
  </si>
  <si>
    <t>15 de septiembre de 1807</t>
  </si>
  <si>
    <t>Velazquez, y subtenencia en las compañías veteranas de infantería de la misma provincia * al cadete D. Pedro Andrade. A las 9 de la mañana del 10 del presente mes, como ya estaba anunciado por este periódico en iB del mes anterior, se procedió al sorteo de la porción de vaxilla de plata que se r</t>
  </si>
  <si>
    <t>Andrés Martín</t>
  </si>
  <si>
    <t>s D. Félix Ramos y D. Juan.Angel Díaz : en el de Algarbe compañía al ayudante, graduado de capitán, D. Andrés Martin; ayudantía al teniente D. Josef de Fuentes; tenencia al alférez D. Miguel Rajart; empleo de alférez al portaestandarte D. Cristóbal Blasco; y esta resulta ai cadete D. Felipe Coll</t>
  </si>
  <si>
    <t>Angei Carranclo, Manuel</t>
  </si>
  <si>
    <t>Manuel Angei Carranclo</t>
  </si>
  <si>
    <t>ella real chanciHería; en Palencia á su dueño el citado D. Juan Manuel Sangrador; y en esta corte á D. Manuel Angei Carranclo, caile de Bordadores, nám. 1, quarto segundo. 1 nucos. Diccionario de medicina y cirugía, ó biblioteca manual médico-quirúrgica por D. A.B.: obra én donde se recopilan todos los p</t>
  </si>
  <si>
    <t>Angela Fernández de Córdoba</t>
  </si>
  <si>
    <t>8 de mayo de 1807</t>
  </si>
  <si>
    <t>orte, hija de D. Andrés López Villatobas, natural este del lugar de los Hinojos, en la Mancha, y de Doña Angela Fernandez de Córdoba, que lo fue también de esta corte, pues tiene que comunicarles un asunto de intereses D. Antonio Norbcrto Cordero y Vargas, que vive en La calle de Ja Gorgnera, esquina á la de la</t>
  </si>
  <si>
    <t>Anguita, María</t>
  </si>
  <si>
    <t>María Anguita</t>
  </si>
  <si>
    <t>13 de enero de 1807</t>
  </si>
  <si>
    <t>o pueblo hace mas de 6 años para Extremadura ó Andalucía; y de la existencia de María Anguita , natural del lugar de Padilla, en el mismo Obispado, la que salió de dicho pueblo hace mas de un año, se servirá comunicarlo a D. Cayetano Gabriel Ga-' liego y Martínez, Prebendado de la C</t>
  </si>
  <si>
    <t>Angulo, Juan María</t>
  </si>
  <si>
    <t>Juan María Angulo</t>
  </si>
  <si>
    <t>14 de abril de 1807</t>
  </si>
  <si>
    <t>ayor del regimiento de infantería de Granada al capitán del de Soria, graduado de teniente coronel, D, Juan María Angulo. En América. El rey se lia dignado nombrar alférez de la compañía veterana de dragones de Metida de Yucatán á D. Juan Josef Bueadia, cadete de la misma. En la gazeta de 3 de febre</t>
  </si>
  <si>
    <t>Anido Fernández, Francisco</t>
  </si>
  <si>
    <t>Francisco Anido Fernández</t>
  </si>
  <si>
    <t>16 de octubre de 1807</t>
  </si>
  <si>
    <t>de Cáceres: para la plaza, que este dexa en la referida audiencia de la Coruña, ha nombrado S. M. á D. Francisco Anido Fernandez, alcalde del crimen mas .antiguo de ella ; y para la resulta de éste á D. Felipe Sobrado. Asimismo para la plaza supernumeraria de oidor de la chancillería de Valladolid á ;D. Ram</t>
  </si>
  <si>
    <t>AnJ</t>
  </si>
  <si>
    <t>re hacer postura acuda, «n el término de 30 dias contados desde 5 del corriente, á la escribanía de D. AnJ ton i o López de Salazar. - ; v &gt; , ^ En virtud ¿de providencia del Sr. D.Torquato Antonio Collado, Teniente Coré regidor de esta villa, se vende una casa sita en la ¡calle idel C</t>
  </si>
  <si>
    <t>Ant</t>
  </si>
  <si>
    <t>sumeret, si quis per agros vel per vicos optime terram excolentibus praemia constitueret, su autor D. Ant nio Sandalio de Arias y Costa, jardinero del real convento de la Encarnación de esta corte. Otra cartilla elemental de agricultura que tiene por lema: Labore et constantia, su aut</t>
  </si>
  <si>
    <t>Ántero Henriquez Calderón</t>
  </si>
  <si>
    <t>co Barrayena, cadete del regimiento de infantería de Toledo, los gefes de sala D. Manuel Fernandez, D. Ántero Henriquez Calderón y D. Josef Martínez: los gefes de trozo D. Manuel de la Cámara, D. Josef Fernandez, D. Manuel Abad, D. Manuel Ferrando, D. Alexandro Lagoa, D. Sebastian Fernandez de Navarrete, D. Car</t>
  </si>
  <si>
    <t>Antero Henriquez Calderón</t>
  </si>
  <si>
    <t>do por los caballeros seminarista mayor D. Manuel Fernandez , los ge fes de sala D. Josef Martínez, D. Antero Henriquez Calderón, I&gt;. Alejandro Lagoa y D. Manuel de la Cámara: ios gefes de trozo D. Manuel Ferrando , D. Josef Fernandez, D. Carlos Van-Zoelen, D. Sebastian Fernandez de Navarrete y D. Luis Berg</t>
  </si>
  <si>
    <t>Antiiion, Isidoro</t>
  </si>
  <si>
    <t>Isidoro Antiiion</t>
  </si>
  <si>
    <t>a, se juzgó digno del primer premio á D. Diego Mesía. En la de astronomía y geografía, del cargo de D. Isidoro Antiiion , han sido considerados dignos del primer premio D. Manuel Blanco, D. Diego Mesía, D. Josef Chacón y Don Josef Salazar. En la de primer año de filosofía, del cargo de D. Miguel de</t>
  </si>
  <si>
    <t>Antolin Casado</t>
  </si>
  <si>
    <t>la diócesi de Zamora, y en virtud de auto del juez subdelegado interino de este primer departamento D. Antolin Casado, se ha señalado el día 8 dei presente para el remate de las fincas siguientes:, una heredad de rierra» compu.-sta de 40 piezas, de cabida de 130 fsnegas y 5 ceiennir.es de sembrad</t>
  </si>
  <si>
    <t>13 de octubre de 1807</t>
  </si>
  <si>
    <t>de la diócesi de Zamora, y fen virtud de auto del juez subdelegado interino del primer departamento D. Antolin Casado, se ha señalado el dia 20 de este mes para el remate de una heredad de tierras compuesta de 30 piezas, de cabida de 107 fanegas y 6 celemines de sembradura, sitas en término del l</t>
  </si>
  <si>
    <t>Antolin del Barrio</t>
  </si>
  <si>
    <t>23 de octubre de 1807</t>
  </si>
  <si>
    <t>os, todo ganado de casta y raza, y de todos pelos, con inclusión del bayo con cabos negros, acuda á D. Antolin del Barrio, maestro de veterinaria en Reynosa, provincia de Búrgos. Por providencia de D. Torquato Antonio Collado, teniente corregidor de esta villa, se cita, llama y emplaza á todos los ac</t>
  </si>
  <si>
    <t>Anton</t>
  </si>
  <si>
    <t>24 de julio de 1807</t>
  </si>
  <si>
    <t>rs. 24mrs. Quien quisiere hacer postura lo executará por la referida escribanía. Por providencia de D. Anton^ Vicente Lobariñas, corregidor de las 4 villa* de la serranía de Villaluenga, diócesi de Málaga, y subdelegado para la venta de bienes eclesiásticos en ellas y demas de su departa</t>
  </si>
  <si>
    <t>Antonia de Círia, María</t>
  </si>
  <si>
    <t>María Antonia de Círia</t>
  </si>
  <si>
    <t>corte, y escribanía dé D. Carlos «Rodríguez- de Moya , se -hallan pendientes autos de pedimento de Doña María Antonia de Círia y D. Alberto Arias del Yerro, vecinos de la. villa de Molina de Aragón, sobre la pertenencia de diferentes acciones del real empréstito de 160 y 240 millones de reales, en los quales</t>
  </si>
  <si>
    <t>Antonia, María</t>
  </si>
  <si>
    <t>María Antonia</t>
  </si>
  <si>
    <t>asa y corte, y escribanía de D. Caries Rodríguez de Meya, se hallan pendientes autos á pedimento de Doña María Antonia deCiria y D. Alberto Arias del Yerro, vecinos de la villa de Molina dcAragca, sobreiapcrtcaoneia dedrCcrcntcs accio</t>
  </si>
  <si>
    <t>Antonio Tomás</t>
  </si>
  <si>
    <t>comandancia del tercer batallón al sargento mayor del de la Princesa, graduado de teniente coronel, D. Antonio Tomás: en el de Africa#tenencia al subteniente D. Juan Veguer', y subtenencia de bandera al sargento primero de granaderos D. Matías Gallego.: en el batallón de infantería ligera de* vo</t>
  </si>
  <si>
    <t>Antonio, Duque</t>
  </si>
  <si>
    <t>Duque Antonio</t>
  </si>
  <si>
    <t>rdias de corps; y de infantería el del Duque Maximiliano., el ae Bevelangen ,el de Saenger y el del Duque Antonio. El General Polenta mandará este cuerpo, que debe marchar á Polonia el 18 de enero. Todas las noticias del Norte aseguran que das negociaciones con Suecia, en caso que hayan exist</t>
  </si>
  <si>
    <t>Antonio-Cano Manuel</t>
  </si>
  <si>
    <t>6 de noviembre de 1807</t>
  </si>
  <si>
    <t>s en el todo de su tasa, se anuncia al público para que quien quisiere mejorarla, acuda ante el Sr. D. Antonio-Cano Manuel, alcalde de casa y corte, por la escribanía de provincia de D. Juan Garrido, que se admití* rán las que se hicieren, no siendo por manos muertas; previniéndose que su rema* te est</t>
  </si>
  <si>
    <t>AntonioArias</t>
  </si>
  <si>
    <t>24 de febrero de 1807</t>
  </si>
  <si>
    <t>vincial de Mondoñedo al Capitán de fusileros del mismo, graduado de Teniente Coronel de infantería, D. AntonioArias^ Somoza y Rico. S. M. se ha servido conceder grado_.de ^Subteniente de miücias provinciales á D. Domingo Díaz, Sargento primero de milicias, y Conductor de artillería en las islas</t>
  </si>
  <si>
    <t>Aparicio, Francisco Ángel</t>
  </si>
  <si>
    <t>Francisco Ángel Aparicio</t>
  </si>
  <si>
    <t>s Viniegra y D. Higinio García de Borunda: en el de Cantabria Tenencia al Subteniente de granaderos D. Francisco Angel Aparicio; y en eL de América Subtenencia de bandera al Cadete D. Josef Morales. El Serenísimo Sr. Príncipe Generalísimo Almirante se sirvió dirigir al Capitán general de Cataluña el oficio</t>
  </si>
  <si>
    <t>Aparicio, Pedro</t>
  </si>
  <si>
    <t>Pedro Aparicio</t>
  </si>
  <si>
    <t>16 de junio de 1807</t>
  </si>
  <si>
    <t>n el de Asturias tenencia 2I subteniente D. Juan Robi, y subtenencia de bandera al sargento primero D. Pedro Aparicio ; y en el batallón de voluntarios de Baibastro el empleo de secundo ayudante al teniente D. Francisco Renota. El Rey se ha servido conferir el regimiento de caballería del Infante</t>
  </si>
  <si>
    <t>Apeilanis, Rafael</t>
  </si>
  <si>
    <t>Rafael Apeilanis</t>
  </si>
  <si>
    <t>de Guadalaxara tenencia al subteriente D. Juan de Mata Sánchez, y subtenencia de bandera al cadete D. Rafael Apeilanis; y en el de voluntarios de la Corona subtenencia de bandera al sargento primero de granaderos D. Demetrio Constante.</t>
  </si>
  <si>
    <t>Aragón, Antonio</t>
  </si>
  <si>
    <t>Antonio Aragón</t>
  </si>
  <si>
    <t>3 de abril de 1807</t>
  </si>
  <si>
    <t>enencia al subteniente de granaderos D. Josef Sequera, y subtenencia de bandera al sargento primero D. Antonio Aragón: en el de Granada subtenencia al cadete del de la Reyna D. Juan Fernandez Tello; y en el de Voluntarios de Estado tenencia al subteniente de granaderos D. Luis Manutl Zamora, y su</t>
  </si>
  <si>
    <t>Araiz, Juan de Dios</t>
  </si>
  <si>
    <t>Juan de Dios Araiz</t>
  </si>
  <si>
    <t>del Marques ado, en la diócesi de Cuenca, vacante por haber contraído matrimonio D. Manuel Gamez, á Don Juan de Dios Araiz, mediante no haberse podido realizar el nombramiento que tuvo á bien S. M. hacer en él por real decreto de 28 de febrero de este año para el beneficio simple rural del despoblado</t>
  </si>
  <si>
    <t>Aran y Morales, Pedro</t>
  </si>
  <si>
    <t>Pedro Aran y Morales</t>
  </si>
  <si>
    <t>rimera cancngía.á D. Josef Miguel de Castro, cura en el obis. pado del Tucoman, y para la segunda á D. Pedro Aran y Morales, emigrado de la isla de S^mo Domingo, y cura que fue en ella; y para una media-ración de la metropolitana de Manila.á D. Josef Valentín de Araya, natural de aquellas islas, rector</t>
  </si>
  <si>
    <t>Araoz y Arredondo, Antonio</t>
  </si>
  <si>
    <t>Antonio Araoz y Arredondo</t>
  </si>
  <si>
    <t>eneficio simple servidero de la villa de RaVanera, en la diócesis de Osma, vacante por promoción de D. Antonio Araoz y Arredondo á una Canongia de la catedral de Guadix, á D. Juan Manuel de Murillo, Cura Párroco de Sta. Cruz de Zamarramala en el obispado de Segovia : para el Beneficio sacristía de la villa</t>
  </si>
  <si>
    <t>Arau, Juan de Dios</t>
  </si>
  <si>
    <t>Juan de Dios Arau</t>
  </si>
  <si>
    <t>dro de Campean en la diócesi de Zamora, vacante por fallecimiento de Don Francisco Benigno Pelaz, á D. Juan de Dios Arau; y para el préstamo de la villa de Salmeronciüos en la diócesi de Cuenca, vacante por muerte de D. Josef Prudencio Vaquero, á D. Dionisio de la Guerra. £1 rey se ha servido conced</t>
  </si>
  <si>
    <t>Arbutbnot</t>
  </si>
  <si>
    <t>r militarmente el cuerpo de la nación húngara, de modo que pueda ponerse en marcha al primer aviso. Mr. Arbutbnot, embaxador de Inglaterra en Tnrquía, se embarcó en Constañtinopla en la fragata Endimion, que le había enviado el almirante Luis. A la salida del último correo de aquella capital</t>
  </si>
  <si>
    <t>ArbuthnOkt</t>
  </si>
  <si>
    <t>isla de Corfú, si al tiempo del rompimiento no hubiesen sido despedidos como partidarios de Rusia. Mr. ArbuthnOkt, ministro de Inglaterra, recibid estas gentes, y ios ha repartido en los navios ingleses. ^ La Puerta ha tenido por conveniente declarar después que los naturales dé las Siete-Isl</t>
  </si>
  <si>
    <t>Arbuthnot</t>
  </si>
  <si>
    <t>s dé varias cartas del general Michelson, comandante de las tropas rusas en Valaquia y Moldavia, de Mr. Arbuthnot, embaxador de Inglaterra cerda de la sublime Puerta , de Mr. Italinsky, enviado de Rusia en la misma corte, y de otros agentes rusos, relativas todas á la reciente invasión de Tur</t>
  </si>
  <si>
    <t>10 de abril de 1807</t>
  </si>
  <si>
    <t>ó que si el almirante Luis insistiese en su demanda, se arrestase al instante al ministro británico Mr. Arbuthnot y á todos los ingleses. Mr. Arbuthnot temió sin duda que llegase este caso, y para prevenirlo se embarcó la misma noche con el mayor sigilo, llevándose quanto le pertenecía. El gobi</t>
  </si>
  <si>
    <t>ha causado aquí mucha sensación. La mayor parte de los comerciantes ingleses que se embarcaron coa Mr. Arbuthnot no tuvieron tiempo para arreglar sus negocios; los que no han podido marchar gozan todavía de una entera libertad. Han ido á los Dardanelos algunos ingenieros franceses á establec</t>
  </si>
  <si>
    <t>, Constantinomia i..° de febrero. Algunos individuos del cuerpo diplomático han recibido cartas de Mr. Arbuthnot, ministro de Inglaterra, que se halla'embarcado á la altura de Teredos*,Despjies cte anunciar los motivos de su partida ^ dice que no ha tenido otro objeto, que el de ponerse en¡</t>
  </si>
  <si>
    <t>as esta capital, han mudado de tono, y han entablado negociaciones.con el divan. Ei ministro ingles Mr. Arbuthnot, que se halla á bordo de la e quadra de su nación, es quien las sigue, por medio del internuncio de Austria. Se esperan'de un instante á otro las resultas, que no pueden menos de</t>
  </si>
  <si>
    <t>acaban de recibir noticias auténticas de Constantinopla con fecha de 18 de marzo. Todo el fruto que Mr. Arbuthnot y el almirante Duckworth han sacado de su odiosa y temeraria empresa, ha sido el descrédito del gabinete británico, y la ruina del comercio ingles en levante. El gran Visir habrá sali</t>
  </si>
  <si>
    <t>hora sus tentativas han sido inútiles. Se han cogido dos correos ingleses con la correspondencia de Mr. Arbuthnot coa so intérprete y con el cónsul ingles que reside en Bucha</t>
  </si>
  <si>
    <t>2 de junio de 1807</t>
  </si>
  <si>
    <t>n emplear las fuerzas de su mando en una-expedición contra Egipto. A pesar de esto, las noticias de Mr. Arbuthnot acerca de las disposicione» en que dexaba al divan y á los habitantes de Constantinopla, le determinaron á acometer la empresa. Los obstáculos que se fueron encontrando parece que</t>
  </si>
  <si>
    <t>5 de junio de 1807</t>
  </si>
  <si>
    <t>nstancias, y porque en las conferencias entre el ministro de S. M. y el capitán Baxá había ofrecido Mr. Arbuthnot que aun qoando la esquadra se presentara delante de Constantinopla, no por eso quedaría menos abierto el camino para una pacificación, ni estaría menos dispuesto á- negociar baxo</t>
  </si>
  <si>
    <t>haya conducido al restablecimientodé la paz, me queda por lo menos el consuelo de pensar que tanto Mr. Arbuthnot como yo, nada hemos omitido para logra lo*, y no era posible sino por medio de negociaciones; porque los preparativos de defensa hechos en Constantinopla, la violencia de las corr</t>
  </si>
  <si>
    <t>entró en Plimouth el Real Jorge, navio de 100 cañones, procedente de Alexandría. Ha traído á bordea Mr. Arbuthnot y al almirante Duckworth, quien ha dexado el mando de la esquadra al almirante Thornborough. Se espera también á Sir Sidney Smith, que vuelve á Inglaterra en el navio Pompeyo, de 80</t>
  </si>
  <si>
    <t>obrar ofensivamente en el caso de que la guerra fuese inevitable, para lo qual debía entenderse con Mr. Arbuthnot, nuestro embaxador cerca de la sublime Puerta. Quando á este le pareciese oportuno, lo primero que tenia que hacer el almirante era pedir que se le entregase la esquadra turca, am</t>
  </si>
  <si>
    <t>Arce y Alemán, Antonio</t>
  </si>
  <si>
    <t>Antonio Arce y Alemán</t>
  </si>
  <si>
    <t>hos autos en los estrados de su audiencia, y los sentenciará conforme á derecho. Habiendo fallecido D. Antonio Arce y Alemán en la vflla de Casarrubios del Monte, dexando mandado entre otras cosas se rúndase en ella por sus testamentarios una cátedra de latinidad,se ha verificado la fundación con la compe</t>
  </si>
  <si>
    <t>Arce, Pedro</t>
  </si>
  <si>
    <t>Pedro Arce</t>
  </si>
  <si>
    <t>6 (extraord.)</t>
  </si>
  <si>
    <t>se tomó después que no quedó duda de que los buques eran enemigos, fué enviar el Virey al.Inspector Don Pedro Arce con 200 ó 300 hombres de caballería, con 203 piezas de artillería de ;á caballo j: á oponerse al desembarco el dia 2 5. de .Junio; en este mi?mo dia se tocó la generala , y acudié</t>
  </si>
  <si>
    <t>Arce, Ramón</t>
  </si>
  <si>
    <t>Ramón Arce</t>
  </si>
  <si>
    <t>e curso se juzgó acreedores al primer premio á D. Josef Isla , D. Josef Cacho y D. Josef Alvarez; á D. Ramón Arce y D. Rafael Sousa al segundo , y i D. Mariano Ibañez al terceros En la de segundo año de matemáticas, dei cargo, en el presente curso, de D. Agustín de Sojo, á D. Josef Salazar al pri</t>
  </si>
  <si>
    <t>Archicanc, Príncipe</t>
  </si>
  <si>
    <t>Príncipe Archicanc</t>
  </si>
  <si>
    <t>1 de marzo de 1807</t>
  </si>
  <si>
    <t>20 (extraord.)</t>
  </si>
  <si>
    <t>á bueno.” : ^ ^ El martes 17 del corriente se convocó el Senado, y de orden de S. M. sé presentó-el Príncipe Archicanc4br%^y proauncií» el discurso que sigue 1 Señores : ' ‘ivb ,-:o ‘ ^ ’*Oé traygo, en nombre de S. Mrel Emppradot-y Reyi é&amp;á tratados ajustados cotí el Rey de Sakoaio’f ^on lesPríítw</t>
  </si>
  <si>
    <t>Archicanciller, Príncipe</t>
  </si>
  <si>
    <t>Príncipe Archicanciller</t>
  </si>
  <si>
    <t>ipe de Benevento. Se continuará dando razón de lo*s demas documentos presenta* dos al Senado £or el Príncipe Archicanciller. : . __ .__ __ EN LA IMPRENTA REAL.</t>
  </si>
  <si>
    <t>4 de septiembre de 1807</t>
  </si>
  <si>
    <t>erial. Hoy á las 7 de la tarde se celebrará el matrimonio civil en la galería de Diana. S. A. S. el Príncipe Archicanciller del imperio unirá los dos augustos esposos conforme á lo presento por las leyes. El domingo próximo á las 8 de la noche recibirán la bendición nupcial de mano de S. A. E. el Piíncipe</t>
  </si>
  <si>
    <t>Archieanciller del Imperio, Príncipe</t>
  </si>
  <si>
    <t>Príncipe Archieanciller del Imperio</t>
  </si>
  <si>
    <t>24 de enero de 1807</t>
  </si>
  <si>
    <t>9 (extraord.)</t>
  </si>
  <si>
    <t>A ' . DE MADRID i.:- DEL SÁBADO 24 DE ENERO DE 1807. FRANCIA. Taris ij de Enera. Hoy ha recibido el Príncipe Archieanciller del Imperio, de parte de S. M. la Emperatriz, la copia de una carta del Príncipe de Neufchátel, Ministro de la Guerra, con fecha de 26 de Diciembre, y tanw bien otras.cartas escritas al día s</t>
  </si>
  <si>
    <t>Archieanciller, Príncipe</t>
  </si>
  <si>
    <t>Príncipe Archieanciller</t>
  </si>
  <si>
    <t>oticias positivas dé las; prime ras operaciones de nuestro cít&amp;'éoiiifa,&lt; tos' Rusos, ha mandado el Príncipe Archieanciller que: se ftírnie‘una papeleta de estas noticias, y se lea en todos los teatros. No es posible pintar el júbilo que ha excitado su lectura; y señaladamente al oir que v/ Emperador '</t>
  </si>
  <si>
    <t>Arenas, Agustín</t>
  </si>
  <si>
    <t>Agustín Arenas</t>
  </si>
  <si>
    <t>Esquerra* • N ..d OFICIALES; DEL'EXEFJOlXO’i.1' : Grado de coronel de exércitó’ ¿i témente coronel D. Agustín Arenas, capitán del regí miento ’dedragones-de* Búénos-Jíyrésijgr.adQS de tenientes coroneles de exírcito á D. .Francisco Agustini, capitán del real cuerpo de artillería; i D.‘Josef Igna</t>
  </si>
  <si>
    <t>Arespacohaga, Juan Ignacio</t>
  </si>
  <si>
    <t>Juan Ignacio Arespacohaga</t>
  </si>
  <si>
    <t>e geometría de Euclides, por Roberto Simson, y ©tro de la aritmética mercantil de Don Benito Bails. D. Juan Ignacio Arespacohaga, D. Francisco Sánchez Satostegui y D. Miguel González y Cadenas lo fuéron de seccionen cónicas y cálculo diferencié é integral , y se les premió á cada uñó cotiun exemplar dél com</t>
  </si>
  <si>
    <t>Arévalo, Benigno</t>
  </si>
  <si>
    <t>Benigno Arévalo</t>
  </si>
  <si>
    <t>nte y Farnesio ehi-t píeos de alférez á los portaestandartes D. Pedro Ramos, D. Vicente Gis— bert y D. Benigno Arévalo; y en el de Alcántara ayudantía al teniente D. Clemente Fernandez. v También se ha servido el rey conferir la tenencia coronela del regimiento de dragones del Rejp al capitán agre</t>
  </si>
  <si>
    <t>Arfian, Juan Esteban</t>
  </si>
  <si>
    <t>Juan Esteban Arfian</t>
  </si>
  <si>
    <t>disciplinadas de Campeche se ha dignado el Rey promover á subteniente dé granaderos ai de fusileros D. Juan Esteban Arfian. S. M. se ha servido nombrar espitan de llaves de la plaza de Cartagena de Indias á D. Antonio Josef de la Rosa, sargento primero del regimiento fixo de infantería de la misma, y</t>
  </si>
  <si>
    <t>omuceno Tenreyro, y ai subteniente de granaderos del batallón de milicias disciplinadas de Campeche D. Juan Esteban Arfian; á subteniente de granaderos al de fusileros agregado D. Joaquín de Ribas, de fusileros al cadete D. Juan Nepomuceno Ribas, y de bandera á D. Cayetano Cabero y D. Joaquín de Torre</t>
  </si>
  <si>
    <t>Argandona, Pablo</t>
  </si>
  <si>
    <t>Pablo Argandona</t>
  </si>
  <si>
    <t>yna -Tenencia al Subteniente de granaderos D. Manuel Carreño: en el de Africa Ayudantía al Teniente D. Pablo Argandona; y en el de Irlanda Subtenencia de bandera al Cadete D. Luis González. S. M. se ha servido promover á Teniente del real cuerpo de Artillería al Subteniente D. Juan Loriga. El Rey</t>
  </si>
  <si>
    <t>Argote, Simón</t>
  </si>
  <si>
    <t>Simón Argote</t>
  </si>
  <si>
    <t>o, individuo del real colegio académico de primeras letras, y catedrático de gramática castellana : D. Simón Argote, secretario de la sociedad económica de Granada, y comisionado por la misma: D. Melchor Andarió, de la referida comisión de literatos: D. Félix de las Cuevas, abogado de los reale</t>
  </si>
  <si>
    <t>Arguedas, Luis</t>
  </si>
  <si>
    <t>Luis Arguedas</t>
  </si>
  <si>
    <t>22 de mayo de 1807</t>
  </si>
  <si>
    <t>tará por la escribanía de la comisión, del cargo de D. Antonio Moreno y Acevedo. Por providencia de D. Luis Arguedas, juez comisionado real para la venta de bienes eclesiásticos en la diócesi de Santander, se ha señalado el dia 6 de Jünio próximo para el remate de las fincas siguientes: una casa</t>
  </si>
  <si>
    <t>ta de bienes eclesiásticos secularizados en la diócesi de Santander, de la que es comisionado regio D. Luis Arguedas, se ha señalado el dia 24 del presente para el remate de 15 fincas compuestas de 2 casas; una parte de casa, una casería, con su tierra de pan llevar, 2 huertas, 3 parrales, 2 cas</t>
  </si>
  <si>
    <t>Arias Antonio Moa y Velarde</t>
  </si>
  <si>
    <t>-ÍSerung} léase por la parte del Curisch* Nerung., VENTAS JUDICIALES. Por providencia del limo. Sr. D. Arias Antonio Moa y Velarde, que como decano gobierna-el real y supremo consejo y cámara de Castilla! juez comisionado, y por la escribanía de D. Diego Benigno González, se ha mandado suspender la venta de l</t>
  </si>
  <si>
    <t>Arias Antonio Mon</t>
  </si>
  <si>
    <t>30 de junio de 1807</t>
  </si>
  <si>
    <t>ticos, párvulos y personas de distinción. Y obte?? nida la aprobación correspondiente del limo* $r. D. Arias Antonio Mon, actual decano gobernador interino del consejo, y ministro, encargado .de ¡activar tales establecimientos en este obispado^ se señ^lópau sM bendiciea</t>
  </si>
  <si>
    <t>Arias Antonio Mon y Vclarde</t>
  </si>
  <si>
    <t>stura á las expresadas casas, juntas ó separadas, acuda en término de 30 dias enMadrid al limo. Sr. D. Arias Antonio Mon y Vclarde, que como decan» gobierna el real y supremo consejo y cámara de Castilla, juez comisionado, por la escribanía de Don Diego Benigno González, ú á la justicia de la enunciada ciudad</t>
  </si>
  <si>
    <t>Arias Antonio Mon y Velarde</t>
  </si>
  <si>
    <t>10 de febrero de 1807</t>
  </si>
  <si>
    <t>núm. 8$.\ ESPAÑA. Madrid io de Febrero de 1807* En atención á los méritos y servicios de los Sres. D. Arias Antonio Mon y Velarde, D. Gonzalo Josef de Vilches y D. Antonio Vilianueva y Pacheco y Ministros del Consejo real, ha venido el Rey en concederles plaza en la Cámara» También se ha dignado S. M. nombra</t>
  </si>
  <si>
    <t>stura á ellas acuda, dentro del término de 30 dias, á la citada subdelegacion general. El limo. Sr. D. Arias Antonio Mon y Velarde, del consejo y cámara de S. M. , ha señalado el martes 28 de este mes, en la escribanía de D. Diego Benigno González, para el remate de dos casas sitas en esta corte, una en la ca</t>
  </si>
  <si>
    <t>29 de diciembre de 1807</t>
  </si>
  <si>
    <t>ReyIIi, coronel agregado al de infantería de Cuba. VENTAS JUDICIALES. Por providencia del limo. Sr. D. Arias Antonio Mon y Velarde, decano del supremo consejo y cámara de S. M., presidente de la comisión gubernativa de consolidación de vales reales, y del honrado concejo de la Mesta general de estos reinos de</t>
  </si>
  <si>
    <t>Arias de Prada, Benito</t>
  </si>
  <si>
    <t>Benito Arias de Prada</t>
  </si>
  <si>
    <t>333,061 rs., acuda en el término de 20 dias, por que nuevamente se ha mandado subastar, ante el Sr. D. Benito Arias de Prada, alcalde de casa y corte, por la escribanía de O. Juan Garrido. =Quien quisiere comprar otra casa sita extramuros de esta villa, fuera de la puerta de Sta. Bárbara, linde ai paseo</t>
  </si>
  <si>
    <t>n metálico, y los restantes en vales reales. Quien quisiere mejorar dicha postura acuda ante el Sr. Don Benito Arias de Prada, alcalde de casa y corte, por la escribanía de D. Juan Garrido; previniéndose que se ha señalado el dia 3 de agosto próximo para su remate. En virtud de providencias del señor alc</t>
  </si>
  <si>
    <t>7 de agosto de 1807</t>
  </si>
  <si>
    <t>en la calle que llaman de Cuchilleros, núm. 24, manz. 169, valuada en 38,578 rs., acuda ante el Sr. D. Benito Arias de Prada, alcalde de casa y corte, por ia escribanía de D. Juan Garrido; previniéndose que está señalado el 31 del presente para su remate. AVISOS. Por auto proveído por la sala de justici</t>
  </si>
  <si>
    <t>en 17,905; y el otro nombrad® de los Cerros, de 4 aranzadas, en 6168 rs. 28 mrs., acuda ante el Sr. D. Benito Arias de Prada, alcalde de corte, por la escribanía de provincia de D. Juan Garrido; previniéndose que su remate está señalado para el dia 19 del presente en la expresada escribanía. A voluntad</t>
  </si>
  <si>
    <t>Arias del Yerro, Alberto</t>
  </si>
  <si>
    <t>Alberto Arias del Yerro</t>
  </si>
  <si>
    <t>D. Caries Rodríguez de Meya, se hallan pendientes autos á pedimento de Doña María Antonia deCiria y D. Alberto Arias del Yerro, vecinos de la villa de Molina dcAragca, sobreiapcrtcaoneia dedrCcrcntcs accio</t>
  </si>
  <si>
    <t>Arias Mon y Velarde</t>
  </si>
  <si>
    <t>ircunstancias y obstáculos que sobrevinieron. Obtenida la aprobación del señor ministro del consejo D. Arias Mon y Velarde, y allanadas varias dificultades, se verificó la solemne bendición de este campo santo por el expresado cura párroco el dia 4 de mayo último, saliendo en procer sion todo el clero</t>
  </si>
  <si>
    <t>me á las reglas e tebiecidas por las reales órdenes, habiendo merecido la aprobación del 'Ilmo.'Sr. D. Arias Mon y Velarde, decano gobernador interino del supremo consejo de CástiUavifó'bendición se ejecutó con asistencia del clero,</t>
  </si>
  <si>
    <t>Arias y Quiroga, Ramón</t>
  </si>
  <si>
    <t>Ramón Arias y Quiroga</t>
  </si>
  <si>
    <t>a al cadete D. Antonio Sequeyros: en los de Sevilla y América subtenencias de bandera á los cadetes D. Ramón Arias y Quiroga, D. Josef Campero y D. Pedro Rute ; y subtenencia de bandera en el primer batallón de voluntarios de Barcelona ai cadete del mismo cuerpo D. Ramón Alavés. S. M. se ha servido nomb</t>
  </si>
  <si>
    <t>Arias, Alonso</t>
  </si>
  <si>
    <t>Alonso Arias</t>
  </si>
  <si>
    <t>10 de julio de 1807</t>
  </si>
  <si>
    <t>fanegas, valuada eri 51,222 rs. Quien quisiere hacer postura, acuda por la escribanía que desempeña D. Alonso Arias; en inteligencia de que está señalado el dia del presente para su remate. Por providencia del barón del Solar de Espinosa, comisionado regio en el departamento de Xerez de los Cab</t>
  </si>
  <si>
    <t>Arias, Juan</t>
  </si>
  <si>
    <t>Juan Arias</t>
  </si>
  <si>
    <t>D. Juan Arias y D. Ramón Agúilár. El i.° arengó á la sociedad, y el 2.0 leyó una oda, en la que el público admiró su talento y aplicación, no haciendo mas que dos años y medio que emprendió el estu</t>
  </si>
  <si>
    <t>Arias, Maria</t>
  </si>
  <si>
    <t>Maria Arias</t>
  </si>
  <si>
    <t>ández, Francisca Orbaneja, Agustina Alvarez, Maria Dolores Santander é Ignacia Aparicio.___En la de Doña Maria Arias se dió el i.° á Maria Arias y Ramona García por leer y doctrina, y por la costura á Juana Velez y Felipa Espeso; quedando el accessit para Atanasia Olmedo, Eustaquia Vázquez, Móni</t>
  </si>
  <si>
    <t>Arjona, Alonso</t>
  </si>
  <si>
    <t>Alonso Arjona</t>
  </si>
  <si>
    <t>de dragones de Villaviciosa se ha servido S. M. conferir compañía al ayudante, graduado de capitán, D. Alonso Arjona; ayudantía al teniente D. Salvador Moxo; tenencia al alférez J). Andrés Bonilla , y esta resulta al portaguión D. Luis Gorrichategui; y en el de Lusitania tenencia al alférez D. R</t>
  </si>
  <si>
    <t>Arnaud</t>
  </si>
  <si>
    <t>o de los antiguos torneos..,__Este es el espectáculo que la ciudad de Aix ha ofrecido á S. A.I.__ _ Mr. Arnaud, de Marsella, que ha representado el papel del Príncipe del amor, ha hecho muchos gastos para sostener el lustre de su dignidad, y ha dado una mesa de ioo cubiertos. Después tuvo</t>
  </si>
  <si>
    <t>Arnauda, Francisco</t>
  </si>
  <si>
    <t>Francisco Arnauda</t>
  </si>
  <si>
    <t>Compañía en el Regimiento de infantería de Ñapóles al Teniente de granaderos, graduado de Capitán, D. Francisco Arnauda ; y Tenencia en el de Cantabria ai Subteniente de granaderos D. Rafael Boville: también ha conferido Compañía en el Regimiento de infantería de Soria á su Caballero Page D. Josc-f</t>
  </si>
  <si>
    <t>Arnould</t>
  </si>
  <si>
    <t>uelta á sus estadcs el 22 por la tarde. En la sesión del cuerpo legislativo del dia 15 de setiembre Mr. Arnould, á nombre del tribunado, expuso con mucha claridad y eloqiiencia los motivos que han determinado á la sala de rentas á proponer el proyecto de ley que se presenta sobre el budget</t>
  </si>
  <si>
    <t>Aro, Felipe</t>
  </si>
  <si>
    <t>Felipe Aro</t>
  </si>
  <si>
    <t>27 de septiembre de 1807</t>
  </si>
  <si>
    <t>86 (extraord.)</t>
  </si>
  <si>
    <t>lféreces de fragata D. Miguel Vaienzueia y D. Pedro Soldán , que mandaban 2 cañoneras , el contador D. Felipe Aro, el piloto D. Joaquín Guzman, encargado del bote de auxilio, y los patrones de las 3 lanchas. Concluida la acción, reparadas las averías, y puestos en tierra los heridos, dio Murf</t>
  </si>
  <si>
    <t>Arroyave, Francisco</t>
  </si>
  <si>
    <t>Francisco Arroyave</t>
  </si>
  <si>
    <t>22 de septiembre de 1807</t>
  </si>
  <si>
    <t>ha servido el Rey promover á capitán ai ayudante D. Gerónimo Piedra Cárdena; á ayudante al teniente D. Francisco Arroyave; á teniente al alférez marques del Apartado; á alférez al portaguión D. Josef Irala, y á portaguión al cadete D. Josef Bey tía. En el re cimiento de milicias urbanas de caballería</t>
  </si>
  <si>
    <t>Arroyüelo, Henrique</t>
  </si>
  <si>
    <t>Henrique Arroyüelo</t>
  </si>
  <si>
    <t>eniente de granaderos al de fusileros D. Manuel Conde ; á Tenientes de fusileros á los Subtenientes D. Henrique Arroyüelo, D. Juan Antonio de Zayas, D. Pascual Diaz Granados y D. Simón Guerrero; á Subteniente de granaderos al de fusileros D. Esíéoan Morrón &gt; á Subtenientes de fusileros á los Cadetes</t>
  </si>
  <si>
    <t>Artajo, Juan</t>
  </si>
  <si>
    <t>Juan Artajo</t>
  </si>
  <si>
    <t>Antonio Valencia Morales: para otra canongía de la catedral de Tudela, vacante por fallecimiento de D. Juan Artajo, á D. Toma?Xavier Labastida ; y-para una ración de la catedral da Almería, vacante por muerte de D; Manuel Gómez Moya, á D. Benito Perez de Hinojosa. El Reí se ha servido conceder</t>
  </si>
  <si>
    <t>Artajona, Pedro</t>
  </si>
  <si>
    <t>Pedro Artajona</t>
  </si>
  <si>
    <t>ier Berne para otra de la de Pina, en la misma diócesi , por fallecimiento de D. Gregorio Cortes: á D. Pedro Artajona para otra ración patrimonial de la parroquial de Fuen-¿ tes de Ebro, en dicha diócesi; y á D. Félix Pintor y Sarri para un beneficio residencial, baxo la invocación de las Once mi</t>
  </si>
  <si>
    <t>Arthur Paget</t>
  </si>
  <si>
    <t>estino determinado. Quando lord Levesoti Gower haya llegado á Petersburgo, lord Pembroke á Viena, y Sir Arthur Paget á Constantinopla, quando estos ministros hayan negociado, quando hayan tomado el ayre de embaxadores en* estos gabinetes, y sondeado bien el terreno, no dexarán de avisar á los mi</t>
  </si>
  <si>
    <t>Arthuro</t>
  </si>
  <si>
    <t>el privilegio. '• Mr. Newport preguntó quanto tiempo debían durar las disposiciones de este bilí; y Sir Arthuro respondió, que 7 años; bien que su opinión no estaba aun bien decidida sobre este punto, el qual podría ventilarse quando la cámara examinase el bilí. Sir Newport replicó diciendo</t>
  </si>
  <si>
    <t>Arthuro Weliesiey</t>
  </si>
  <si>
    <t>das en las juntas que tienen cada 3 meses los magistrados, con asistencia de un abogado del Rey &amp;c. Sir Arthuro Weliesiey se reservó presentar otro bilí, prohibiendo llevar armas á ciertas personas* formándose lista de todas aquellas á quienes se concediese este derecho* y finalmente autorizando á lo</t>
  </si>
  <si>
    <t>Arthuro Wellesley</t>
  </si>
  <si>
    <t>tos y empleos de la compañía de las Indias en los años de 1802, 803 y 804, y el prudencial en 1805. Sir Arthuro Wellesley solicitó permiso para presentar un bilí con el objeto de hacer cesar la insurrección en Irlanda, y precaver lo* alborotos de aquel reyno. Recordó á la cámara que las circunstancia</t>
  </si>
  <si>
    <t>n por parte de los dinamarqueses Mrs. de Waltersdorff, Lutken y KirchhofF, y por la de los ingleses Sir Arthuro Wellesley, Sir Home Popham, y Sir Jorge Murray. El gobierno de dinamarca no ha reconocido la capitulación. Escriben de Holstein que se ha prohibido toda comunicación con la isla de Zelandia</t>
  </si>
  <si>
    <t>Arthuro Young y Mr</t>
  </si>
  <si>
    <t>de saber si es posible la abolición gradual del impuesto para los pobres. Dos escritores célebres, Mr. Arthuro Young y Mr. Malthus, han propuesto planes diferentes: el del último es el único que puede reducirse á la práctica. Opina que en el caso de que no se crea conveniente abrogar las leyes relati</t>
  </si>
  <si>
    <t>Artigau, Juan</t>
  </si>
  <si>
    <t>Juan Artigau</t>
  </si>
  <si>
    <t>, del quartel de Ruzafa: otra ídem ai Dr. D. Salvador Cambra, cura párroco del Genoves: otra idem á D. Juan Artigau, de la villa y honor d;e Corbera: otra idem á D. Fernando Reduan, de Alcoy: otra idem á Manuel Artal, de Sueca: otra idem á Vicente Milla, de Mas arrasa: otra de plata á Andrés Qu</t>
  </si>
  <si>
    <t>Artnro Paget</t>
  </si>
  <si>
    <t>66 f chinson._Ha salido de Portsmouth para Malta Sir Artnro Paget, nonsbrado para el ministerio de Gonstantínopla, á bordo del navio Montagiúy de 74 cañones. El mismo buque conduceal almirante Martin, que va á tomar el mando de nuestras fuerzas</t>
  </si>
  <si>
    <t>Arturo Brown</t>
  </si>
  <si>
    <t>n Irlanda. Í .os comisarios encargados de la .execucioo de este edificio han adjudicado el premio á Mr. Arturo Brown, vecino de la ciudad de Noiwik. La sociedades medicina de Londres ha propuesto, para asunto del premio del año 1807, la mejor descripción de las fiebres epidémicas que han reynado</t>
  </si>
  <si>
    <t>Arturo Paget</t>
  </si>
  <si>
    <t>es tan hábiles como Ulises. Y ¿en qué vino á parar todo? En enviar á Viena á Mr. Adair, en lugar de Sir Arturo Paget. Este es el fénix que se ha presentado en la escena política; y ¿qué ha hecho? Mientras por una parte se negociaba la paz, por otra se estaban dando motivos para que continuase la</t>
  </si>
  <si>
    <t>icadas anteriormente por los periódicos franceses del mal éxito que han tenido las negociaciones de Sir Arturo Paget en Constantinopla. No hay esperanza alguna de reconciliación con la Puerta. Según cartas de Plimouth ha entrado en aquel puerto la corbeta Electro, con pliegos muy importantes del l</t>
  </si>
  <si>
    <t>que no permite pasar á este puerto ningún buque procedente del Mediterráneo ni del Archipiélago-----Mr. Arturo Paget, embaxador de Inglaterra, se halla á bordo de uno de los buques de esta división: desde allí ha hecho ya varias proposiciones de paz á nuestro gobierno, el qual le ha respondido q</t>
  </si>
  <si>
    <t>Arturo Wellesley</t>
  </si>
  <si>
    <t>20 de octubre de 1807</t>
  </si>
  <si>
    <t>lla los mayores elogios. Al almirante se ha dado título de barón, y de vizconde al lord Cathcart. A Sir Arturo Wellesley, al vice-almirante Sthanope y á Sir Home-Popham se darán también premios correspondientes. En las inmediaciones de Plymeuth hay embargados al pie de 100 buques dinamarqueses, cuyo</t>
  </si>
  <si>
    <t>Arzobispo de Lyon, Cardenal</t>
  </si>
  <si>
    <t>Cardenal Arzobispo de Lyon</t>
  </si>
  <si>
    <t>que un buque prusiano de 3 palos, llamado le Succes, con carga de arboladura , tablazón y trigo. El Cardenal Arzobispo de Lyon ha depositado estos dias en la caxa de beneficencia de a ;uellg xiudad una .suma de 6® pesetas. En los 15 meses y 1.4 dias que han pasado desde el, i¿f de Vendimiarlo del. año 14.</t>
  </si>
  <si>
    <t>Arzobispo de París, Cardenal</t>
  </si>
  <si>
    <t>Cardenal Arzobispo de París</t>
  </si>
  <si>
    <t>​= Napoleón. — El Miró tro de los Cultos, Portalis A consecuencia de esta orden de S. M. el Emo. Sr. Cardenal Arzobispo de París, de acuerdo-con S. A. S. el Principe Archieanciller del imperio, ha determinado que se catite el Te Deum en la iglesia metropolitana el domingo 25 del presente mes, á hs i2 en pun</t>
  </si>
  <si>
    <t>Arzobispo de Toledo, Cardenal</t>
  </si>
  <si>
    <t>Cardenal Arzobispo de Toledo</t>
  </si>
  <si>
    <t>máticos, y otros 2 de exercicios espirituales para el clero, con una pastoral del Emo. y Excmo. Sr. Cardenal Arzobispo de Toledo, y con el retrato de su Erna. Se venden en las librerías de Quiroga y de Gómez Fuentenebro. El honor militar, causas de su origen, progresos y decadencia, por D. Clemente Peñalosa</t>
  </si>
  <si>
    <t>Asensio Hernández</t>
  </si>
  <si>
    <t>19 de mayo de 1807</t>
  </si>
  <si>
    <t>l regimiento de caballería del Rey se ha servido S. M. conceder empleo de portaestandarte al cadete D. Asensio Hernández: en el de dragones de Almansa ayudantía al teniente D. Josef Pastor; y en el de Pavía tenencia al alférez D. Ventura Rieseo. En América. El rey se ha servido nombrar para una raci</t>
  </si>
  <si>
    <t>Asensk, Vicente</t>
  </si>
  <si>
    <t>Vicente Asensk</t>
  </si>
  <si>
    <t>la villa de Versea, por fallecimiento de D. Pedro Joaquín DiazjHa del lugar de Arcas, por muerte de Don Vicente Asensk&gt;; la de Arrancacepas, por fallecimiento de D. Francisco Chepa; y para el préstamo de Torredefrades, en él obispado de Zamora, vacante por haber contraído matrimonio D. Dámaso Calv</t>
  </si>
  <si>
    <t>Asió, Ramón</t>
  </si>
  <si>
    <t>Ramón Asió</t>
  </si>
  <si>
    <t>S. M. se ha servido nombrar para una canongía de la catedral de Jaca, vacante por fallecimiento de D. Ramón Asió, á D. Miguel Lr p&lt; z y Ger, racionero cor» cargo de cura de almas de la villa de Muriilo Gallego-, y á I). Cirios Casarova para un beneficio servidero de la villa de la Fiesnedc,</t>
  </si>
  <si>
    <t>Astraudi, Manuel</t>
  </si>
  <si>
    <t>Manuel Astraudi</t>
  </si>
  <si>
    <t>ianza: finalmente se ha dignado S. M. conceder empleo de portaestandarte en el de Montesa al Cadete D. Manuel Astraudi; y en el de dragones de Lusitania tenencia al alférez D. Diego Ramos, S. M. se ha servido nombrar para la plaza de oidor de la real audiencia de Cataluña, vacante por promoción de</t>
  </si>
  <si>
    <t>Atanasi</t>
  </si>
  <si>
    <t>a expresada isla á D. Alonso Dávila, alférez de carabineros del mismo cuerpo; y para sus resultas á Don Atanasi© Quadra y D. Ramón de Matos, alférez y cadete del propio regimiento. Atendiendo el Sermo. Sr. Príncipe Generalísimo Almirante á las repetidas súplicas de los sugetos que desean in</t>
  </si>
  <si>
    <t>Atanasio Domínguez</t>
  </si>
  <si>
    <t>el Campo y D. Manuel de León y Romero; y á subtenientes á D, Aureliano Carabeo, este de granaderos, D. Atanasio Domínguez, y al sargento primero D. Joaquín Marín. El rey se ha dignado nombrar á D. Josef Montemayor, juez de la audiencia de Grados de la ciudad de Sevilla, para la plaza de juez civil de</t>
  </si>
  <si>
    <t>Atanasio Echeverría y Godoy</t>
  </si>
  <si>
    <t>io de los jóvenes que se dedican á las bellas artes, y ha vertido al castellano con el mismo objeto D. Atanasio Echeverría y Godoy, director de pintura de Ja real academia de S. Carlos de México. Véndense en la librería de Castillo, frente á las gradas de S. Felipe, y en el almacén de papel de la calle de la</t>
  </si>
  <si>
    <t>Atanasio García</t>
  </si>
  <si>
    <t>siere hacer postura á dichas tierras, juntas ó separadas, lo executará por la escribanía que exerce D. Atanasio García, en la que se dará,, razón individual’ de la cabida, precio y circunstancias de cada una de las expresadas fincas. El señor IqteijdWte 4c proyin^ía', por su decreto dé. jt r Vdel</t>
  </si>
  <si>
    <t>Atanasio Puyal y Poveda</t>
  </si>
  <si>
    <t>27 de noviembre de 1807</t>
  </si>
  <si>
    <t>Toledo, y asistentes los limos. Sres. D. Francisco de la Cuerda, obispo que fue de Paerto- Rico, y D. Atanasio Puyal y Poveda, auxiliar de Madrid, y padrino la comunidad del monasterio de Valparaíso, de donde era hijo el dicho Sr. limo, consagrado, representándola su actual prelado el R. P. D. Plácido Re</t>
  </si>
  <si>
    <t>Atíenza Moraga, Sebastián</t>
  </si>
  <si>
    <t>Sebastián Atíenza Moraga</t>
  </si>
  <si>
    <t>70,790 rs. Quien quisiere 'hacer postura , acuda por la escribanía de la subdelegacion, que exerce D. Sebastian Atíenza Moraga. Por providencia de D. Josef Garcini de Queralt, comisionado regio para la venta de bienes eclesiásticos en Granada , se ha señalado el 3 de agosto próximo para el remate de un co</t>
  </si>
  <si>
    <t>Atítonio Cortes de Zabalza</t>
  </si>
  <si>
    <t>622 mo nacional, á D. Atítonio Cortes de Zabalza, catedrático perpetuo de instituciones civiles de la universidad de Cervera: para otra plaza de la propia corte mayor de Navarra, también nacional, por jubilación de Don Francisco</t>
  </si>
  <si>
    <t>Auckland, Lord</t>
  </si>
  <si>
    <t>Lord Auckland</t>
  </si>
  <si>
    <t>fensa de Stralsund, en caso que los Franceses acometan esta plaza. Ayer se presentó en la posada de Lord Auckland una diputación de los comerciantes que tienen relaciones con Hamburgo, para conferenciar -acerca del estado presente de los negocios en aquella ciudad y en el continente , y con e</t>
  </si>
  <si>
    <t>Augerea, Mariscal</t>
  </si>
  <si>
    <t>Mariscal Augerea</t>
  </si>
  <si>
    <t>abeza de su división de dragones. Mr. Semele , Coronel del bizarro 24.0 „de línea, fué herido, y al Mariscal Augerea 11 le mataron un caballo. En este intermedio el Marisca! Soult había llegado con su cuerpo de exército áMoiati; dos leguas de Makow; pero los horribles lodos, efecto de las lluvia</t>
  </si>
  <si>
    <t>Augereaü, General</t>
  </si>
  <si>
    <t>General Augereaü</t>
  </si>
  <si>
    <t>, no son capaces 2000 de ellos de acometer'á uri esquadron que los aguarde á pie firme. ■ [ - ' El General Augereaü ha pasado el Vís*1^3 Por Utrata. El General Lapisse ha entrado en Pleusk, arrojando de allí aFenémigo. El Mariscal Sóult hav pasado el Vístula por Vizogrod----_E1 Mariscal Bessier</t>
  </si>
  <si>
    <t>Augereau, Mariscal</t>
  </si>
  <si>
    <t>Mariscal Augereau</t>
  </si>
  <si>
    <t>mento atrincherado baxo la dirección del General de Ingenieros Chasseloup. El 10 pasó el Vístula el Mariscal Augereau, entre Zaleoczyrn y Ultrata. Sus destacamentos trabajan en la orilla derecha pa;a cubrirse con. atrincheramientos. Los Rusos parece que tienen fuerzas en Púltu k. Ei Mariscal Bebi</t>
  </si>
  <si>
    <t>Wrcka por este punto, y atravesaba por allí mismo el rio. El j.° cuerpo de exército, mandado por el Mariscal Augereau, que también lo habia pasado,, derroto los 15® hombres que lo defendían. Fué brillante este paso del puente. El 14.0 de línea lo verificó en colunas, miéntras qué el ió.° de infan</t>
  </si>
  <si>
    <t>s, marchando de, Biezun por el camino de Grodno. , .t _ El Mariscal Soult inmediato á Ciechanow. El Mariscal Augereau marchando hácia Golymin. f El Mariscal Davoust entre Golyiqin y,Pu!tusk. ; , El Mariscal Lannes en Pultusk. ( _ ,:j /■ ¿ . ; En estos dos dias hemos hecho de ,1500 a 1600 prisione</t>
  </si>
  <si>
    <t>n su cuerpo de exército para sostenerle. El Mariscal Soult pasaba el Vístula en frente de Plock. El Mariscal Augereau lo pasaba en frente dé Zakroczim, donde sé estaba construyen* do, un puente á toda prisa. El del Narew se estaba haciendo con igual viveza. El 22 se acabó el puente del Narew. Tod</t>
  </si>
  <si>
    <t>Aúgereau, Mariscal</t>
  </si>
  <si>
    <t>Mariscal Aúgereau</t>
  </si>
  <si>
    <t>arrojó de un bosque en las inmediaciones del campo¿ de Golymin. v, , -.&lt;■ ...; . Al mismo tiempo el Mariscal Aúgereau llegaba'¡de:Golaczima, y acó-' metía al enemigo por su flancQ.íjEl. Qenexal .de brigada.Lapisse con el 16.?*</t>
  </si>
  <si>
    <t>Augusta de Saxonia, Princesa</t>
  </si>
  <si>
    <t>Princesa Augusta de Saxonia</t>
  </si>
  <si>
    <t>a de Bráunau el dia 26 de agosto. Parece cierto que el Príncipe Real de Bayiex^ va i casarse con la Princesa Augusta de Saxonia. Según noticias de Orsova, del 20 de agosto, el nuevo Sultán Mustafá trata seriamente de sujetar y reducir la Servia. A este efecto el exército turco, que está á las órdenes de Ib</t>
  </si>
  <si>
    <t>Augusta, Princesa</t>
  </si>
  <si>
    <t>Princesa Augusta</t>
  </si>
  <si>
    <t>suelta para el 1 f de noviembre la partida del Rey de Saxonia á Varsovia. Se cree que la Reyna y la Princesa Augusta acompañarán 1 S. M., quien no llevará mas ministros que el conde Marcolini y el conde Bosemann, pues solamente se detendrá allí el tiempo necesario para recibir el juramento de fi</t>
  </si>
  <si>
    <t>de guerra que hay en el arsenal prontos á dar la vela, y son la corbeta Aguila , y ios bergantines Princesa Augusta 3 Jena} Friedland, Neptuno, l'ettUé y Polux, empabesados con las banderas de todas las potencias neutrales y amigas, se formarán en el canal mayor junto á S. Marcos. Una flotilla</t>
  </si>
  <si>
    <t>Augusto Beattlaincourt</t>
  </si>
  <si>
    <t>s guardias Walonas se ha servido el rey conceder el empleo de alférez de granaderos al de fusileros D. Augusto Beattlaincourt, conde de Martes. En el regimiento de infantería del Príncipe se ha servido S. M. promover á subteniente dé bandera al cadete D. Vicente Montero de Espinosa; y á segundo ayudante</t>
  </si>
  <si>
    <t>Augusto de Prusia, Príncipe</t>
  </si>
  <si>
    <t>Príncipe Augusto de Prusia</t>
  </si>
  <si>
    <t>e con una esquadra al Báltico, y con el general Stuart, que manda la legión alemana. Se dice que el Príncipe Augusto de Prusia será cangeado. Las islas de Usedon y de Wollin fueron ocupadas el dia 20 por los franceses en virtud del armisticio. Se cree generalmente aqui que los triunfos del mariscal Morder</t>
  </si>
  <si>
    <t>empleo se ha conferido á Mr. Lombard, que es uno de los ministros que se han retirado. S. A. R. el Príncipe Augusto de Prusia, hijo dél Príncipe Fernando, llegó el dia 11 á esta ciudad de vuelta de su viage á Francia y á Suiza: ; ' Los franceses custodian las bocas del Elba y del Weser , de manera que ni</t>
  </si>
  <si>
    <t>Augusto de Saxonia-GotHa, Duque</t>
  </si>
  <si>
    <t>Duque Augusto de Saxonia-GotHa</t>
  </si>
  <si>
    <t>so del año próximo pasado muchas personas de grande reputación en Europa; el Duque de Brunswick, el Duque Augusto de Saxonia-GotHa, los Ministros Ingleses Pit y Fox , los Almirantes G aviad y Vüleneuve, los Médicos Barthez y Fouquet, el Profesor Pallas, Mrs. Coulomb, Brisson y Adansonj Fysicos ó Natura-iis-ta</t>
  </si>
  <si>
    <t>Aupetit, Pedro Julián</t>
  </si>
  <si>
    <t>Pedro Julián Aupetit</t>
  </si>
  <si>
    <t>o executará por la escribanía de la comisión, que desempeña D. Prudencio Senres. Por providencia de D. Pedro Julián Aupetit, subdelegado para la venta &lt;Je bienes eclesiásticos en el territorio de Tarazona de la Mancha, diócesi de Cuenca , se ha señalado el 3 de agosto próximo para el remate de una here</t>
  </si>
  <si>
    <t>Aureliano Carabeo</t>
  </si>
  <si>
    <t>los Carta, éste de granaderos, D. Rafael del Campo y D. Manuel de León y Romero; y á subtenientes á D, Aureliano Carabeo, este de granaderos, D. Atanasio Domínguez, y al sargento primero D. Joaquín Marín. El rey se ha dignado nombrar á D. Josef Montemayor, juez de la audiencia de Grados de la ciudad</t>
  </si>
  <si>
    <t>Aurelio Visconti</t>
  </si>
  <si>
    <t>ucción de los malhechores. La dirección del establecimiento literario de monte Cassino se ha dado á D. Aurelio Visconti; el de la santísima Trinidad de la Cava á D. Carlos Spezzapani, y el de Monte Vergine á D. Raymundo Morales, todos tres sugetos de acreditada.instruccion. FRANCIA. Varis jo de jul</t>
  </si>
  <si>
    <t>AUVERGNE MUERTO EN EL CAMPO DEL HONOR EL OCHO</t>
  </si>
  <si>
    <t>RO DE FRANCIA POR EL MAYOR CAPITAN DEL MUNDO. A LA MEMORIA DEL PRIMER GRANADERO DE FRANCIA , LATOUR D’ AUVERGNE MUERTO EN EL CAMPO DEL HONOR EL OCHO DE MESIDOR ANO VIII. Stettin 11 de julio. Ayer se anunció en la orden del cuerpo de observación del exórcito grande que se principiarán las hostilidades contra los suecos el 13 del c</t>
  </si>
  <si>
    <t>Auzout</t>
  </si>
  <si>
    <t>o, que se conserva en la Biblioteca de Santa Geno*" veva de Paris, cayo contenido en agua determinó Mr. Auzout, se deduce, tomando los datos mas seguros, que el pie romano es de 156,5 líneas de nuestro pie. ■. El Caballero Schuckburg midió 9 pies romanos diferentes, hallad os en diferentes</t>
  </si>
  <si>
    <t>Aymé</t>
  </si>
  <si>
    <t>» Versión al castellano de la insigne obra intitulada los fundamentos de fe, escrita en francés por Mr. Aymé^canónigo de la iglesia de Arras, para toda dase de personas , y principalmente para la juventud que está próxima á entrar en el trato del mundo. La universal aceptación que ha ten</t>
  </si>
  <si>
    <t>AyzE, Ignacio</t>
  </si>
  <si>
    <t>Ignacio AyzE</t>
  </si>
  <si>
    <t>deros D. Juan Sobrado, Don Manuel Torregrosa y ÍL Juan Espinosa; y subtenencias al sargento primero D. Ignacio AyzE, y á-los cadetes D. Tomas^y D.- Josef Antonio AL¿ dao^ y&gt; D.-Francisco Xavier Mónftuéi : en el de la Princesa el empleo dé sargento mayor ai capitán de‘granaderos, graduado de ten</t>
  </si>
  <si>
    <t>Azara, Félix</t>
  </si>
  <si>
    <t>Félix Azara</t>
  </si>
  <si>
    <t>cudero, que haciendo sus ensayos con la tierra de Birbuñales, partido de Barbastro, por conseje» de D. Félix Azara, que no pudo enviarles la de Chinchón, lograron igualmente dulcificar unos vinos que de agrios y torcidos no podían beberse. D. Joaquín Lacambra, vecino de Grau;, que preparó con</t>
  </si>
  <si>
    <t>Azara, Francisco</t>
  </si>
  <si>
    <t>Francisco Azara</t>
  </si>
  <si>
    <t>mosto de garnacha, y dulcificó varias cubas de vino, que habia empezado á avinagrarse. Los señores D. Francisco Azara y D. Pedro Escudero, que haciendo sus ensayos con la tierra de Birbuñales, partido de Barbastro, por conseje» de D. Félix Azara, que no pudo enviarles la de Chinchón, lograron igualme</t>
  </si>
  <si>
    <t>Azlor, Manuel</t>
  </si>
  <si>
    <t>Manuel Azlor</t>
  </si>
  <si>
    <t>oronel D. Pedro del Castillo, sargento mayor del de dragones de Lusitama, y esta resulta al coronel D. Manuel Azlor, capitán del citado de Pavía. Deseando el Sermo. Sr. Príncipe Generalísimo Almirante acceder á las súplicas que le han dirigido varias personas para conseguir plazas de discípulos</t>
  </si>
  <si>
    <t>Bacaro, Antonio</t>
  </si>
  <si>
    <t>Antonio Bacaro</t>
  </si>
  <si>
    <t>20 de noviembre de 1807</t>
  </si>
  <si>
    <t>aza de agente -del número de los de Indias á D. Lorenzo Martínez Román Cayon. El capitán de fragata D. Antonio Bacaro, comandante interino del apostadero de Algeciras, ha dado el parte siguiente al Serenísimo-Señor Príncipe Generalísimo Almirante con fecha de 5 de noviembre. „ Serenísimo Señor: A</t>
  </si>
  <si>
    <t>Baculard de Arnaud</t>
  </si>
  <si>
    <t>n pasta y 14 en rústica. Experimentos &lt;le sensibilidad: historias y novelas escritas en francés por Mr. Baculard de Arnaud, y puestas en castellano por D. Juan Corradi: 8 tomos en 8.® Se hallarán en la librería de Arribas, calle de las Carretas, á 80 rs. en rústica y 96 en pasta. Memorias sobre la vid</t>
  </si>
  <si>
    <t>Badow, Jorge</t>
  </si>
  <si>
    <t>Jorge Badow</t>
  </si>
  <si>
    <t>sucederá Sir Cirios Maliet, el qual ha residido en esta plaza por espacio de 7 años. Ya vemos que á Sir Jorge Badow se le confirma el gobierno supremo» aunque la paz que ha negociado con Holkar, si se ha de juzgar por la impericia con que se ha hecho, no nos anuncia que esté dotad) de grandes c</t>
  </si>
  <si>
    <t>Baefta, Francisco Gerónimo</t>
  </si>
  <si>
    <t>Francisco Gerónimo Baefta</t>
  </si>
  <si>
    <t>e en su oxidación menor, ó muriate indisoluble. { concluirá ) VENTAS JUDICIALES. Por providencia de D. Francisco Gerónimo Baefta, comisionado regio para la venta de bienes eclesiásticcs de la diócesi de Plasencia, se ha mandado sacar á pública subasta, por término de 30 dias, que han de cumplir en 3 de Juni</t>
  </si>
  <si>
    <t>Baena, Francisco Gerónimo</t>
  </si>
  <si>
    <t>Francisco Gerónimo Baena</t>
  </si>
  <si>
    <t>eligencia de estar señalado' el dia 3 del inmediato mes de Junio para su remate. Por providencia de D. Francisco Gerónimo Baena, comisionado regio para la ' r » &lt; (4) El gran Lavoisier creía que el gas oxigeno ,álcombinarse c©n los metales, no perdía todo su fuego.</t>
  </si>
  <si>
    <t>olasco Sánchez Morongo, léase D. Pedro Nolasco Sánchez Moron. VENTAS JUDICIALES. Por providencia de D. Francisco Gerónimo Baena, juez comisionado real ea</t>
  </si>
  <si>
    <t>Baggouwot, General</t>
  </si>
  <si>
    <t>General Baggouwot</t>
  </si>
  <si>
    <t>e Gurka, con el fin de tomar la ciudad : yo no podía oponerle mas que 5® hombres á lás órdenes &lt;íel General Baggouwot, que se defendió con tesón has?ta que le envié- 3 batallones de la reserva, y después al General Ostermaaa Tolstoy con otros 3 batallones, de cuyas resultas quedó totalmente rota</t>
  </si>
  <si>
    <t>Bagration, Príncipe</t>
  </si>
  <si>
    <t>Príncipe Bagration</t>
  </si>
  <si>
    <t>e han derrotado á los franceses, y que Benigsen ha abandonado sin niotívo ef Vístula y él Narew. El Príncipe Bagration debe suceder en el mando á Benigsen, por haberse retirado este con un exército qué se suponía triunfante.—Esperan en Schüsselburg á la Rey na dé Frusia, que va á Petersburgo. Se ha m</t>
  </si>
  <si>
    <t>tino, y baxo sus órdenes al general Ostermann ToLtoy. La vanguardia principal estará mandada por el Príncipe Bagration.</t>
  </si>
  <si>
    <t>Bahamonde, Manuel</t>
  </si>
  <si>
    <t>Manuel Bahamonde</t>
  </si>
  <si>
    <t>iente de la primera compañía del primar. bata-j llon del regimiento de infainrería de la Luisiana á D. Manuel Bahamonde». guardia de coíps de ta compañía americana. Asimismo ha nombíado S. M. para el corregimiento de Quesal te nango»; en el reyrto de Guatemala „ á D. Miguel Carrillo de Albornoz» ab</t>
  </si>
  <si>
    <t>Bails, Benito</t>
  </si>
  <si>
    <t>Benito Bails</t>
  </si>
  <si>
    <t>de los elementos de geometría de Euclides, por Roberto Simson, y ©tro de la aritmética mercantil de Don Benito Bails. D. Juan Ignacio Arespacohaga, D. Francisco Sánchez Satostegui y D. Miguel González y Cadenas lo fuéron de seccionen cónicas y cálculo diferencié é integral , y se les premió á ca</t>
  </si>
  <si>
    <t>tas, cuyas historias deben saber explicar. Se hallará en el despacho de las obras de matemáticas de D. Benito Bails, en la real casa de la academia de S. Fernando, calle de Alcalá, á 6 rs. enquader-* nado en papel y 8 en pasta. El Escribano perfecto, espejo de escribanos teórico práctico, en qu</t>
  </si>
  <si>
    <t>ón de la salud de los pueblos, y consideraciones sobre los terremotos: un tomo en 8.° marquilla por D. Benito Bails. Se hallará en la librería de Ja hija de Ibarra, calle de la Gorguera, á 13 rs. en papel y 16 en pasta. Consideraciones sobre les cometas, y noticia sucinta del que se presenta en</t>
  </si>
  <si>
    <t>Balanzat, Francisco</t>
  </si>
  <si>
    <t>Francisco Balanzat</t>
  </si>
  <si>
    <t>anaderos D. Antonio Rico; y en el de voluntarios de la Corona tenencia al subteniente de granaderos D. Francisco Balanzat. ~ El Rey se ha servido conferir la tenencia coronela deí regimiento de caballería de la Reyna al teniente coronel D. Josef Diaz, sargento mayor del de Calatrava: tenencias en el</t>
  </si>
  <si>
    <t>Balanzat, Ignacio</t>
  </si>
  <si>
    <t>Ignacio Balanzat</t>
  </si>
  <si>
    <t>les de la Torre: asimismo ha conferido en el de Ñapóles compañía al ayudante gira* duado de capitán D. Ignacio Balanzat: en. el de Burgos tenencia al subteniente de granaderos D. Manuel Collantes; y el empleo de capitán segundo en el segundo batallón de Voluntarios de Cataluña al segundo ayudante D</t>
  </si>
  <si>
    <t>Balbin, Juan</t>
  </si>
  <si>
    <t>Juan Balbin</t>
  </si>
  <si>
    <t>allería de blandengues de la frontera de Buenos-Ayres: grados de ¿tenientes coroneles de milicias á D. Juan Balbin</t>
  </si>
  <si>
    <t>Baldomero Mora</t>
  </si>
  <si>
    <t>29 de septiembre de 1807</t>
  </si>
  <si>
    <t>ante el Sr. D. Ramón Navarro Pingarron, alcalde de casa y corte, por la escribanía de provincia de D. Baldomero Mora ledaPara el remate del término despoblado de la villa de Cabezuelas, con todos sus aprovechamientos de diezmos, jurisdicción y enseres, tasado en 987,121 rs. 23 mrs., cuya subasta</t>
  </si>
  <si>
    <t>Ballesteros, Ignacio</t>
  </si>
  <si>
    <t>Ignacio Ballesteros</t>
  </si>
  <si>
    <t>ey conceder en el batallón de infantería ligera de voluntarios de Barbastro tenencia al subteniente D. Ignacio Ballesteros; y en el de voluntarios de Estado subtenencia de bandera al cadete, agregado al mismo cuerpo, D. Manuel Montemayor. S. M. se ha servido conferir el gobierno militar y político de</t>
  </si>
  <si>
    <t>Bally, Francisco</t>
  </si>
  <si>
    <t>Francisco Bally</t>
  </si>
  <si>
    <t>ler á capitán primero al de granaderos D. Josef Zelger ; á capitán de granaderos al capitán segundo D. Francisco Bally, y á capitán segundo al teniente~de granaderos D. Francisco Zelger: en el de Betschart á subteniente al cadete D. Agustín Gir; y en el de Preux á teniente al subteniente .de grana</t>
  </si>
  <si>
    <t>Baltasai Gonsalez Galvez</t>
  </si>
  <si>
    <t>M. conferir la plaza de asesor del gobierno é intendencia de Huancavelica, en el rey no del Perú, á D. Baltasai Gonsalez Galvez, abogado de la chanciliería de Granada.</t>
  </si>
  <si>
    <t>Baltasar Alcántara</t>
  </si>
  <si>
    <t>ía de Soria se ha servido S. M. promover á subteniente de bandera al sargento primero de granaderos D. Baltasar Alcántara ; y á teniente en el segundo batallón de voluntarios de Cataluña al subteniente D. Joaquín Guijarro: en el de Asturias tenencia 2I subteniente D. Juan Robi, y subtenencia de bande</t>
  </si>
  <si>
    <t>Baltasar de Ayala</t>
  </si>
  <si>
    <t>ido S. M. promover á Capitán al Ayudante D. Nicolás Remen; á esta resulta al Teniente de granaderos D. Baltasar de Ayala; á Teniente.de granaderos al de .fusileros D. Andrés Sartorio; á Tenientes de fusileros álos Subtenientes D. Pédro Chiari y Don Félix Paredes; á Subteniente de fusileros al Sargen</t>
  </si>
  <si>
    <t>Baltasar de Beza</t>
  </si>
  <si>
    <t>iento de infantería de León al ayudante del provincial de milicias de Sevilla, graduado de capitán, D. Baltasar de Beza ; y subtenencias de bandera en los de voluntarios de Estado y Borbon á los sargentos primeros D. Francisco Negrete y Don Bartolomé Fauret: subtenencia de bandera en el de Mallorca</t>
  </si>
  <si>
    <t>Baltasar de la Calzada</t>
  </si>
  <si>
    <t>gnidad de capiscol de la colegial de Santillana, diócesi dé Santander, vacante por fallecimiento de Don Baltasar de la Calzada, á D. Benito Barreda y Robledo, canónigo de la misma iglesia: para la prestamera, vacante en la parroquia de la villa del Castillo de Garcimuñoz, en el obispado de^Cuenca, por mue</t>
  </si>
  <si>
    <t>Baltasar Fernández</t>
  </si>
  <si>
    <t>bítero: para una ración de la catedral de Toledo, vacante por muerte de D. Pedro Sainz Rodríguez, á D. Baltasar Fernandez, presbítero: parados de las tres capellanías que fundó en el convento de religiosas descalzas de esta villa la emperatriz Doña María de Austria, vacantes, la una por fallecimiento</t>
  </si>
  <si>
    <t>sta que se le coloque en las sucesivas vacantes de esta clase; y ha nombrado S. M. para sucederle á D. Baltasar Fernandez, comisario ordenador, y ministro de real hacienda en Mahon; para este destino á D. Pedro Alcántara Velaz, tesorero electo del exército de Galicia; para esta tesorería á D. Juan de</t>
  </si>
  <si>
    <t>mbrar para la intendencia de la provincia de Cuenca, vacante por fallecimiento de D. Josef Mañiz, á D. Baltasar Fernandez, electo intendente de las nuevas poblaciones de Andalucía y Sierramorena: para esta á D. Hermenegildo de Llanderal, ministro de real hacienda de Ceuta : para este ministerio á D.</t>
  </si>
  <si>
    <t>Baltasar Josef Vincenz</t>
  </si>
  <si>
    <t>Reding, núm. 2.0, al de fusileros Den Josef Buman: subteniente en el de Reding, núm. 3.0, al cadete D. Baltasar Josef Vincenz: en el de Soria compañía al teniente de granaderos, graduado de capitán, D. Pedro Isasmendi: teniente al subteniente de granaderos D. Francisco Pradas; y subtenencia dé bandera al</t>
  </si>
  <si>
    <t>Baltasar Unquera</t>
  </si>
  <si>
    <t>as desgracias. Baxo una apariencia dé parlamento fue muerto mi primer ayudante el teniente de navio D. Baltasar Unquera desde el convento de Sto. Domingo, y el del coronel D. Xavier Ello, el capitán de artillería urbana D. Josef de Pasos gravemente herido. Mi recomendable edecán D. Manuel de Arce, que</t>
  </si>
  <si>
    <t>Baltasar Zapata y Merino</t>
  </si>
  <si>
    <t>bra escrita en francés por Mr. Macquer, abogado del parlamento de París, y traducida al español por D. Baltasar Zapata y Merino¿ Se hallará en la librería de Villareal, calle de las Carretas, y en el puesto cíe Tejada, gradas de S. Felipe: los tomos 2.% 3.® y 4.0 acedan sueltos á los que tengan el primero.</t>
  </si>
  <si>
    <t>Bañólas, Sebastián</t>
  </si>
  <si>
    <t>Sebastián Bañólas</t>
  </si>
  <si>
    <t>ra una canongía de la catedral de Barbastro, vacante por fallecimiento de D. Santiago Perez Mata, á D. Sebastian Bañólas* El Rey se ha servido conferir compañía en el regimiento de infantería de 'Voluntarios de Estado al teniente, graduado de capitán , D. Joaquín Herreros t ayudantías en el de las O</t>
  </si>
  <si>
    <t>Barana, Cayetano</t>
  </si>
  <si>
    <t>Cayetano Barana</t>
  </si>
  <si>
    <t>z y D. Juan Cetina; á Subtenientes de compañía á los de bandera D. Josef Calderón, Don Ramón Ponce, D. Cayetano Barana y D. JuánGalan, y á D. Josef Pereyra y D. Josef Carrion,vecinos de la demarcación del regimiento;y á Subtenientes de bandera á los Cadetes D. Miguel Diez de Bonilla, D. Josef Francisc</t>
  </si>
  <si>
    <t>Barberi, Pedro</t>
  </si>
  <si>
    <t>Pedro Barberi</t>
  </si>
  <si>
    <t>e portaestandarte al sargento primero D. Miguel Ximeno: en el de Farnesio tenencias á los alféreces D. Pedro Barberi y D. Josef PeraR&gt;., y en el de Mantesa empleo de alférez, al portaestandarte D. Basilio Cabalen. También se ha dignado S. M. conceder ayudantía en el regimiento de dragones de Almansa</t>
  </si>
  <si>
    <t>Barceló, Antonio</t>
  </si>
  <si>
    <t>Antonio Barceló</t>
  </si>
  <si>
    <t>79*, empleando e hasta el de 1773 en el corso contra los berberiscos, á las ordene-, del Fxcmo. Sr. D. Antonio Barceló, con quien se halló en 10 combares, en qu¿ se apresaron ▼arios buques enemig s._El 28 de abril de 74 ascendió á teniente de navio, y fne nombrado comandante de los des cubrimiento</t>
  </si>
  <si>
    <t>Barcena, Manuel</t>
  </si>
  <si>
    <t>Manuel Barcena</t>
  </si>
  <si>
    <t>nombrar para la canongía lectoral, vacante en la catedral de Valladolid de Mechoacan por ascenso de D. Manuel Barcena, á D. Josef Diaz Ortega, cura propio de la villa de Salamanca , en aquel obispado. S. M, se ha servido conceder agregación de capitán en el regimiento de infantería ñxo de Puerto-</t>
  </si>
  <si>
    <t>Barkíey de Tolly, General</t>
  </si>
  <si>
    <t>General Barkíey de Tolly</t>
  </si>
  <si>
    <t>«ea, con el éxito mas feliz;porque habiendo reforzado al General Barkíey de Tolly con 3 batallones, 10 esquadrones y una batería, el enemigo fue desalojado del bosque y desbaratado enteramente, con lo qual empezó su retirada. El ataque empezó á las 11 de la man</t>
  </si>
  <si>
    <t>Barkley de Tolly, General</t>
  </si>
  <si>
    <t>General Barkley de Tolly</t>
  </si>
  <si>
    <t>enemigo. Su segundo ataque, igualmente vigorosose dirigía hácia mi flanco derecho,, donde estaba el General Barkley de Tolly cqh la vanguardia. Esta ala se hallaba sobre el camino de Stegoczin apoyada á un matorral, que ocultaba una batería. A pesar de esta disposición , el enemigo dio muestras de quere</t>
  </si>
  <si>
    <t>Barlow, Jorge</t>
  </si>
  <si>
    <t>Jorge Barlow</t>
  </si>
  <si>
    <t>descontento á nuestros políticos *, y aun dicen que lord Lake ha tenido una disputa muy reñida con Sir Jorge Barlow sobre este particular. Los artículos de la paz son tan vergonzosos y conciliatorios, y en su execucion ha habido tanta timidez, que según la opinión general se cree que dicha paz</t>
  </si>
  <si>
    <t>Baroa de Vmcent, General</t>
  </si>
  <si>
    <t>General Baroa de Vmcent</t>
  </si>
  <si>
    <t>a sé preparan a iré chazar una agresión tan claramente injusta. ; ''\s; Há llegado aquí de Viéña él General Baroa de Vmcent.con cartas del Emperador de Austria pára el-Emperador Napoleón. - f y Después de una gran nevada ha estado helando 3 diasj consecutivos, y con el auxilio de los trineos teníamos l</t>
  </si>
  <si>
    <t>Barón de Essen, Teniente General</t>
  </si>
  <si>
    <t>Teniente General Barón de Essen</t>
  </si>
  <si>
    <t>embre. Se ha declarado esta plaza en estado de sitio, y se cree que se destruirán los arrabales. El Teniente General Barón de Essen es nuestro Gobernador militar, y el Coronel Peyron Comandante particular de la plaza. Sabemos que el quartel general del Mariscal Mortier se halla todavía en Anclam.</t>
  </si>
  <si>
    <t>Barón de Vincent, General</t>
  </si>
  <si>
    <t>General Barón de Vincent</t>
  </si>
  <si>
    <t>freqiientemente, y el Emperador y el Archiduque Carlos asisten de ordinario á sus conferencias. El General Barón de Vincent ha salido para el quartel general de S, M. el Emperador de los Franceses Rey de Italia. La noticia difundida en toda Europa de que el General Mack ha sido condenado á muerte, segú</t>
  </si>
  <si>
    <t>Barrafon, Domingo</t>
  </si>
  <si>
    <t>Domingo Barrafon</t>
  </si>
  <si>
    <t>empleo de sus capitales, obligándolos á surtir mercados distantes, cuyos retornos son mas tardíos: D. Domingo Barrafon sobre qué es lo que constituye la riqueza de una nación: D. Josef Ribera de los auxilios que mutuamente se prestan la agricultura y el comercio; y D. Tomas Polo sobre si es cierto</t>
  </si>
  <si>
    <t>Barrayena, Francisco</t>
  </si>
  <si>
    <t>Francisco Barrayena</t>
  </si>
  <si>
    <t>aber incurrido en pena alguna de ordenanza por motivo grave ni leve, el caballero seminarista mayor D. Francisco Barrayena, cadete del regimiento de infantería de Toledo, los gefes de sala D. Manuel Fernandez, D. Ántero Henriquez Calderón y D. Josef Martínez: los gefes de trozo D. Manuel de la Cámara,</t>
  </si>
  <si>
    <t>Barreda y Rebolledo, Benito</t>
  </si>
  <si>
    <t>Benito Barreda y Rebolledo</t>
  </si>
  <si>
    <t>o: para otra canongía vacante en la colegial de Santillana » diócesi de Santander, por promoción de D. Benito Barreda y Rebolledo á la dignidad dé capiscol de la propia iglesia , á D. Martin de Escalada , cura párroco del lugar de Valdelateja, en el arzobispado de Burgos; y para el préstamo de la parroquia d</t>
  </si>
  <si>
    <t>Barreda y Robledo, Benito</t>
  </si>
  <si>
    <t>Benito Barreda y Robledo</t>
  </si>
  <si>
    <t>ial de Santillana, diócesi dé Santander, vacante por fallecimiento de Don Baltasar de la Calzada, á D. Benito Barreda y Robledo, canónigo de la misma iglesia: para la prestamera, vacante en la parroquia de la villa del Castillo de Garcimuñoz, en el obispado de^Cuenca, por muerte de D. Manuel Ximenez, á D.</t>
  </si>
  <si>
    <t>Barredo, Diego</t>
  </si>
  <si>
    <t>Diego Barredo</t>
  </si>
  <si>
    <t>Cañedo y D. Juan Bernardo Domínguez ; á Subtenientes de compañía á los de bandera D. Pedro Ker«ion, D. Diego Barredo, D. Henrique deGrand-pré y D. Alexo Lessacier; y á Subtenientes de bandera á los Cadetes D. Juan Josef de Noricga , Don Pedro de Vegas y D. Martin Palao, y al Sargento primero D.</t>
  </si>
  <si>
    <t>Barrera de los Heros, Luis</t>
  </si>
  <si>
    <t>Luis Barrera de los Heros</t>
  </si>
  <si>
    <t>sultas de causa que en el juzgado del crimen y policía de la ciudad de Cádiz, y por la presencia de D. Luis Barrera de los Heros, uno de sus escribanos, so sigue para averiguar los autores y cómplices del extravío de porción de vales reales al tiempo de remitirlos por el correo de aquella plaza á diversos'p</t>
  </si>
  <si>
    <t>Barreyro, Francisco</t>
  </si>
  <si>
    <t>Francisco Barreyro</t>
  </si>
  <si>
    <t>28. del corriente. Por la comisión real de la diócesi ¡de Sevilla , y en. virtud! de providencia de D. Francisco Barreyro, subdelegado en la ciudad del Puerto de Sta. María para la venta de bienes eclesiásticos secularizados, se ha señalado el dia a8 del presente para el remate de las fincas siguient</t>
  </si>
  <si>
    <t>Barreyro, Joaquín</t>
  </si>
  <si>
    <t>Joaquín Barreyro</t>
  </si>
  <si>
    <t>á los de fusileros Don Mariano Romay y D. Josef de la Torre; y á subtenientes de bandera al cadete D. Joaquín Barreyro,y al sargento primero D. Antonio Casas. Asimismo se ha servido S. M. conferir el empleo de coronel del regimiento de dragones de México al teniente coronel, agregado al de dragone</t>
  </si>
  <si>
    <t>Barrio, Domingo</t>
  </si>
  <si>
    <t>Domingo Barrio</t>
  </si>
  <si>
    <t>791 : otra á Ja Barranca, en 455. Idem de Bartolomé Barrita. Otra al Charco, en 140. Idem d^l Lie. D. Domingo Barrio. Otra á Nava los Sa rtos, en 445 • otra en término de Mujadahonda, á la Madroñera, en 11 15. Cofradía de la Concepción. Oirá en término de Jas Rozas, á la cruz dd Corv‘l-o , en 5</t>
  </si>
  <si>
    <t>Barrios, Juan</t>
  </si>
  <si>
    <t>Juan Barrios</t>
  </si>
  <si>
    <t>tán* D. Juan de Saavedra* También se ha servido el Rey conferir el regimiento de dragones del Rey a D. Juan Barrios* teniente coronel del de Villaviciosa; y el de cazadores voluntarios de España al coronel D. Juan de Henestrosa, teniente coronel del de húsares de María Luisa. En América. El Rey</t>
  </si>
  <si>
    <t>Barté, Pedro Juan</t>
  </si>
  <si>
    <t>Pedro Juan Barté</t>
  </si>
  <si>
    <t>Larrauri, en la citada villa de Bermeo. Por el juzgado de la subdelegacion real del cargo del Lie. D. Pedro Juan Barté, alcalde mayor de la villa de Buytrago, se ha señalado el dia 2 1 de este mei para el remate de dos prados, el uno de pasto y monte, en término de Pintilla, llamado de los Aparent</t>
  </si>
  <si>
    <t>Barthelémydel, Coronel</t>
  </si>
  <si>
    <t>Coronel Barthelémydel</t>
  </si>
  <si>
    <t>de la caballería ligera, B.oussard, Comandante de una Brigada de la división de dragones Beker, :e!.Coronel Barthelémydel regimiento 15.0 de dragones,, han,salido heridos,por la metrallad Los Edecanes JVoisin, del Mariscal Lannes, y. Curial,. .del General Seuchet, han sido muertos gloriosamente. El M</t>
  </si>
  <si>
    <t>Bassoco, Vicente</t>
  </si>
  <si>
    <t>Vicente Bassoco</t>
  </si>
  <si>
    <t>Josef'María Jussué, D. Josef Baquedano, D. Ramón Posada, D. Josef Bretón , Don Eugenio de Zuloaga, D. Vicente Bassoco y D. Manuel de la Torre. Ganaron el premio extraordinario eje instrucción religiosa los caballeros gefe de sala D. Manuel Fernandez, el de trozo D. Manuel Cámara y el seminarista D. M</t>
  </si>
  <si>
    <t>Bátala, Pedro</t>
  </si>
  <si>
    <t>Pedro Bátala</t>
  </si>
  <si>
    <t>Buffon, clasificado según el ástema de Binneo por Renato Ricardo Cast¡el, traducido ¿ ilustrado por D. Pedro Bátala, Presbítero.; tomo 19, que:contiene la historiarde fes triipiates de América, da fá cuerva , del mainate, deFcuervo, de laícornejay dé lasr chucas, •deT.vpicazauó'uE-* ra.ca.,.dél</t>
  </si>
  <si>
    <t>Batlle y Jubiñá, Martín</t>
  </si>
  <si>
    <t>Martín Batlle y Jubiñá</t>
  </si>
  <si>
    <t>o Pescador del obispado de Gerona? bacante por protfiócion de Di Josef Pasapera á otro de Blanes: á D. Martin Batlle y Jubiñá pafa otro beneficio de la parroquia de Cardedeu, obispado de Barcelona , vacante por promoción de D. Miguel Pagés á una capellanía de Santa María dél Mar de la ciudad de Barcelona</t>
  </si>
  <si>
    <t>Batowski</t>
  </si>
  <si>
    <t>. La comisión suprema había nombrado antes, como su representante, cerca del Emperador Napoleón, á. Mr. Batowski, antiguo nuncio de Livonia en la dieta constitucional do Varsovia, y comisario, de la república en la corte del duque de Curlandia. ¿ Ayer llegó;aquí un correo" de Constantinopla</t>
  </si>
  <si>
    <t>Bawstree, Juan</t>
  </si>
  <si>
    <t>Juan Bawstree</t>
  </si>
  <si>
    <t>as que haga ni diga Mr. Duncan, él mismo está gobernado también por el mayor. Mr. Jorge Corsellis d Mr. Juan Bawstree. Cambaya 6 de agosto de 1806. Se dice que nue tro actual gobernador Mr. Duncan va á salir para Inglaterra. Esta mudanza causará una satisfacción</t>
  </si>
  <si>
    <t>Báycd, Jacinto</t>
  </si>
  <si>
    <t>Jacinto Báycd</t>
  </si>
  <si>
    <t>a para un beneficio de la parroquial de Monroyo , diócesi de Zaragoza, vacante por fallecimiento de D. Jacinto Báycd': á D. Femando Miranda para el beneficio primero de Sta. Catalina, vacante en la catedral de Barcelona por muerte de D. Josef Inglesa; y á D. Miguel Cásset para otro beneficio, cum</t>
  </si>
  <si>
    <t>Bayo, Manuel</t>
  </si>
  <si>
    <t>Manuel Bayo</t>
  </si>
  <si>
    <t>antería española; y á capitán primero del real cuerpo de ingenieros del exército al capitán segundo D. Manuel Bayo. Continuando la real junta del monte pió de viudas y pupilos del ministerio del reyno en acordar sus providencias con el objeto de conseguir el mejor arreglo y manejo de sus fondo</t>
  </si>
  <si>
    <t>Bayon, Andrés</t>
  </si>
  <si>
    <t>Andrés Bayon</t>
  </si>
  <si>
    <t>rvido nombrar áD. Manuel Estéban Alcalá para el Deanato primera silla de la catedral de Tarazona: á D. Andrés Bayon, Inquisidor de Murcia, para una Canongía de la catedral de Orihuela: á D. Francisco Romero y Alpuente para la dignidad de Chantre de la catedral de Te• mel : á D. Bernardo Sánchez</t>
  </si>
  <si>
    <t>Bcrnardino Antonio Solís</t>
  </si>
  <si>
    <t>s ó qualesquiera de dichas fincas, acudirá á la escribanía del número de la misma villa, que exerce Don Bcrnardino Antonio Solís.</t>
  </si>
  <si>
    <t>Be Dito San Juan</t>
  </si>
  <si>
    <t>Igualmente ha nombrado S. M. por inspector general de la caballería de línea, a! mariscal de campo D. Be Dito San Juan ; y por inspector gener ral de la caballería ligera al brigadier D. Ramón de Villalba, coronel del regimiento de dragones del Rey. Asimismo se ha servido S.M. promover á teniente</t>
  </si>
  <si>
    <t>Be, Mariscal</t>
  </si>
  <si>
    <t>Mariscal Be</t>
  </si>
  <si>
    <t>e dio motivo al combate dé Biezun. El dia 23 á las 8 desembocó el enemigo por diferentes partes. El Mariscal Be &gt; ieres había apostado las dos únicas compañías de infantería, que tenia á sus órdenes en la inmediación del puente. Viendo la excesiva superioridad del enemigo, mandó adelantarse</t>
  </si>
  <si>
    <t>Beato, Jorge</t>
  </si>
  <si>
    <t>Jorge Beato</t>
  </si>
  <si>
    <t>postura á las referidas fincas comparezca en la «scribanía de la citada comisión regia, que exerce D. Jorge Beato; con la prevención de que está señalado el dia 16 de! presente para su remate. &gt; En virtud de providencia de D. E:téban de la Madrid y Montes, juez comisionado real en Ja ciudad d</t>
  </si>
  <si>
    <t>uien quisiere hacer postura á dichas fincas comparezca en la escribanía de la comisión del cargo de D. Jorge Beato; con la prevención que su remate está señalado para el dia 25 del corriente. Por providencia de D. Pablo de Villa y Torre , comisionado regio para la venta de bienes eclesiásticos</t>
  </si>
  <si>
    <t>Beatriz</t>
  </si>
  <si>
    <t>obre que se fundaron los, dos patronatos, mandados fundar por Doña Juana Caldera Freyle, hija de la Doña Beatriz, en ci convento de Sta. Clara de esta córte,, y á cuyo goce y obtención de dichos patronatos está reservado igualmente el derecho por la sentencia de 1a. chancillería á. los que l</t>
  </si>
  <si>
    <t>Beatriz, María (princesa)</t>
  </si>
  <si>
    <t>Princesa María Beatriz</t>
  </si>
  <si>
    <t>ando, tio del Emperador. Nació en r.° de Junio de 1754, y se casó en 15 de Diciembre de 1771 con la Princesa María Beatriz, hija del Duque Hércules ni de Módena, Reggio y Mirándola. El Príncipe Fernando de Würtemberg, Gobernador de Vierta y de Austria la baxa, se ha retirado del servicio de esta monar</t>
  </si>
  <si>
    <t>25 de septiembre de 1807</t>
  </si>
  <si>
    <t>gosto. Parece que está resuelto celebrar á mediados de noviembre el matrimonio del Emperador con la Princesa María Beatriz, hija primogénita del difunto archiduque Fernando, tío de S. M. I. La Princesa tiene 20 años, y ya ha recibido el retrato del Emperador. PRUSIA. Stettin 29 de agosto. El Rey de Su</t>
  </si>
  <si>
    <t>den atravesar ahora libremente por la Servia. El Emperador ha resuelto diferir su matrimonio con la Princesa María Beatriz hasta el 20 del mes que viene. Las funciones tampoco serán hasta después de año nuevo. Acaba de llegar á esta capital el barón de Bieifeld, encargado de negocios de Píü5Ía en Cons</t>
  </si>
  <si>
    <t>Beaumont, General</t>
  </si>
  <si>
    <t>General Beaumont</t>
  </si>
  <si>
    <t>rulaz le sostenía con su caballería ligera. Inmediatamente después pasó la división de dragones del General Beaumont, y empezó el cañoneo en Czarnowo. El Mariscar Davoust mandó pasar al General Petit con el duodécimo de línea para forzar los reductos del puente. Sobrevino la noche, y fué preciso</t>
  </si>
  <si>
    <t>Bebieres, Mariscal</t>
  </si>
  <si>
    <t>Mariscal Bebieres</t>
  </si>
  <si>
    <t>la derecha pa;a cubrirse con. atrincheramientos. Los Rusos parece que tienen fuerzas en Púltu k. Ei Mariscal Bebieres desfila en Thorn con el segundo cuerpo de resepde caballería 1 compuesta de la división de caballería ligera del General Tilíy, de los dragones de los Generales Gruchy y Sahuc, y de</t>
  </si>
  <si>
    <t>Becerra, Bernardo</t>
  </si>
  <si>
    <t>Bernardo Becerra</t>
  </si>
  <si>
    <t>estro Don Cayetano Fernandez VillamiL Fueron examinados en aritmética D. Manuel Royo, D. Josef Mes, D. Bernardo Becerra, D.Josef Carrero, D. Ramón Eiroa, D. Ramón Suazo, D. Antonio Valentín Díaz, D. Josef Hordavidalnz, D. Lorenzo Cedrón, D. JuanPefundely D. Manuel Elizaicin. En geometría especulati</t>
  </si>
  <si>
    <t>Becerrii y Valero, Manuel</t>
  </si>
  <si>
    <t>Manuel Becerrii y Valero</t>
  </si>
  <si>
    <t>afel corregimiento de capa y espada de las ciudades de Palma y Tenerife en las islas de Canarias: á D. Manuel Becerrii y Valero para la vara de alcalde mayor teniente segundo de asistente de la ciudad de Sevilla: á D. Juan Bober para la-de teniente tercero de la propia ciudad; y á D. Ignacio Cúseme para la</t>
  </si>
  <si>
    <t>Bedborodko, Príncipe</t>
  </si>
  <si>
    <t>Príncipe Bedborodko</t>
  </si>
  <si>
    <t>s. El gobierno ruso intenta armar la hobleza polaca de Lituania, la de Volhínia y la de Ukrania. El Príncipe Bedborodko y el Conde Alexo Or— loff son los Generales nombrados para mandar la nobleza. Esta novedad ha causado mucho descontento, y han arrestado á muchos nobles polacos, yá losd.emas se les h</t>
  </si>
  <si>
    <t>Beguiller</t>
  </si>
  <si>
    <t>modo de molerlos con economía, de la conservación de estos y de las harinas, escrito en francés por Mr. Beguiller, extractado y traducido por D. Felipe Marescalchi: un tomo en 4.0 con 23 láminas finas. Esta obra está^dividida en 3 partes: en la i.*se da un conocimiento exacto de las diferente</t>
  </si>
  <si>
    <t>Bekler, Coronel</t>
  </si>
  <si>
    <t>Coronel Bekler</t>
  </si>
  <si>
    <t>, hechos prisioneros algunos Coroneles, y cogidos muchos cañones. Ha quedado herido mortalmente el Coronel Bekler del 8.° Regimiento de dragones , Oficial de gran valor.</t>
  </si>
  <si>
    <t>Belauzaran, Antonio</t>
  </si>
  <si>
    <t>Antonio Belauzaran</t>
  </si>
  <si>
    <t>obispado: para una canongía de la de Valladoüd de Mechoacan, asimismo vacante por fallecimiento de D. Antonio Belauzaran, á D. Josef Alvarez Gato: para la ración que este dexa á D. Josef Jacinto de Llanos y Valdés: para la media que refulta vacante á D. Antonio Laureano Cortés y Ú lar te, cura en aq</t>
  </si>
  <si>
    <t>Belle, Isidoro</t>
  </si>
  <si>
    <t>Isidoro Belle</t>
  </si>
  <si>
    <t>priorato primera silla dé la colegial'de Castellvo, diócesi de Urgel, vacante por fallecimiento de D. Isidoro Belle" ra; y á D. Juan Ginturri para la canongía llamada Sacristía, de la misma colegial de Castellvo, vacante por muerte de D. FranciscoCarlá. S. M. se ha servido conceder gTado de cor</t>
  </si>
  <si>
    <t>Bellido, Lorenzo</t>
  </si>
  <si>
    <t>Lorenzo Bellido</t>
  </si>
  <si>
    <t>de las dos plazas de sochantre, vacante - en la ,real iglesia de S, Iddro de Madrid, por muerte/de D. Lorenzo Bellido,-AJEAmbrosio Martínez. ( El Rey se ha servido conceder en el regimiento de infantería de Málaga ten,encía al subteniente IXSantiago Ruiz; y en el dé Cantabria subtenencia de bande</t>
  </si>
  <si>
    <t>Belluomini</t>
  </si>
  <si>
    <t>l el 12 del corriente. • Lúea j de abril. S. A. S. el Príncipe de Lúea y dePiombino, á propuesta de Mr. Belluomini, ministro de ios cultos, ha resuelto por decreto de 31 de marzo extinguir el privilegio de asilo para los .delinqüentes en todo el territorio del principado, desde el dia de la fe</t>
  </si>
  <si>
    <t>Bellus, Antonio</t>
  </si>
  <si>
    <t>Antonio Bellus</t>
  </si>
  <si>
    <t>axo la invocación de las Once mil Vírgenes, vacante en la catedral de Sólsoria por fallecimiento de D. Antonio Bellus. En el regimiento de reales guardias Valonas se ha servido el Rey promover á teniente al alférez D. Matias de Power. El Rey se ha servido conceder ¿subtenencias de bandera en el r</t>
  </si>
  <si>
    <t>Beltcan Fartand</t>
  </si>
  <si>
    <t>ra una ración de la catedral de Cartagena, vacante por muerte de D. Francisco Gómez de la T' rre, á D. Beltcan Fartand, presbítero, agregado á la parroquia de Santiago de la ciu</t>
  </si>
  <si>
    <t>Beltran, Pedro Pablo</t>
  </si>
  <si>
    <t>Pedro Pablo Beltran</t>
  </si>
  <si>
    <t>luña, vacante por promoción de D. Andrés Romero Valdés á plaza de alcalde de k real casa y corte, á D. Pedro Pablo Beltran, alcalde del crimen mas antiguo de aquel tribunal; y para esta resulta á D. Josef ViUanuevá y Arévalo, substituto de la cátedra de derecho patrio de la universidad de Alcalá. En A</t>
  </si>
  <si>
    <t>Benigse, General</t>
  </si>
  <si>
    <t>General Benigse</t>
  </si>
  <si>
    <t>órdenes del Emperador de Austria. - \ Sin embargo, hay una razón que pnede excusar la relación del General Benigse». Debió de temer este General el efecto que podía producir la verdad en la Polonia prusiana y Polonia rusa, que tenia^que atravesar, si llegaba á ser conocida en estas provincias</t>
  </si>
  <si>
    <t>Benigsen, General</t>
  </si>
  <si>
    <t>General Benigsen</t>
  </si>
  <si>
    <t>ístula. Los estragos han sido muy considerables en las orillas dé Bug. La proclama publicada por el General Benigsen no habla mas qué de castigar con ei hierro y el luego á los partidarios de la Francia. Se asegura que el Rey de Prusia se transfirió el 24 al quartel generat Ruso en Pultáusk, sob</t>
  </si>
  <si>
    <t>éjos de retroceder entonces, caminaron hácia adelante los Rusos, y el 5 de Diciembre restableció el General Benigsen su quartel general en Pultusk. La orden que tenian era de estorbar que los Franceses pasasen el Narew, de recobrar á Prag, y ocupar el Vístula, miéntras tanto que n# se pudiesen v</t>
  </si>
  <si>
    <t>Benígsen, General</t>
  </si>
  <si>
    <t>General Benígsen</t>
  </si>
  <si>
    <t>néré* ' "3 ' l’ ■ &gt; El 29 de Diciembre recibió en Koenisberg el Rey de Prusia el oficio adjunto del General Benígsen, qne inmediatamente se extendió y promulgo ©rtoda la ciudad con las mayores demostraciones de jubilo. El Rey reci^f 4ó públicas enhorabuenas; pero' el 31 por la noche se súpo^ por</t>
  </si>
  <si>
    <t>chweidnitz y Kossel, que ha embestido ya el Príncipe Gerónimo. Nada diremos del ridículo oficio del General Benigsen, sino que tiene algo de incomprehensible. Parece que reconviene á su compañero el General Buxhowden, quien estaba, dice, en MakoW. ¿ Cómo podía ignorar que Buxhowden habia llegado</t>
  </si>
  <si>
    <t>ca. Sigue el diario del sitio de Breslau. (Se publicará en la gazeta próxima.) Copia del oficio del General Benigsen al Rey de Prusia. Tengo la fortuna de poder decir á V. M. que el enemigo me atacó ayer ántés de medio dia, y que he logrado rechazarle en todos les puntos de su ataque. Ei primero</t>
  </si>
  <si>
    <t>Benningsen, General</t>
  </si>
  <si>
    <t>General Benningsen</t>
  </si>
  <si>
    <t>lonie y Sochaczen, á 8 millas de Posen: ‘ algunas patrullas avanzaron hasta el camino de Thorn/^fel General Benningsen , que manda este exército, tenia él 1,2 su quartel general, en-Polstu k, en’el camino de Varsovia á Grodno» Es este General el mismo que firmo el 24 de Octubre en Grodno el conven</t>
  </si>
  <si>
    <t>Benrgsen, General</t>
  </si>
  <si>
    <t>General Benrgsen</t>
  </si>
  <si>
    <t>Ostrolenka, y que ha obligado al enemigo á retirarse 80 leguas. En quanto á la ilación que saca el General Benrgsen de que no fué per* seguido, bastará observar que no habia por que perseguirle respecto á quo nuestras tropas le llevaban dos jornadas de ventaja sobre su costado ; y á no haber sido</t>
  </si>
  <si>
    <t>Berault-' Bercastel</t>
  </si>
  <si>
    <t>o* presentes, escrita en francés y dedicada al rey Cristianísimo por el abad de Berault-' Bercastel, canónigo de Noyon, traducida al castellano é ilustrada con notas por lo perteneciente á España: tomo 19, que comprehende desde el fin del concilio de Tremo en el año 1563 hasta la reconcil</t>
  </si>
  <si>
    <t>Beraza, Antonio</t>
  </si>
  <si>
    <t>Antonio Beraza</t>
  </si>
  <si>
    <t>azo de terreno capaz de dar para mantener su familia, viva con esta continuamente en ella*__ El Sr. D. Antonio Beraza, administrador de correos en esta ciudad, y socio de numero, ofrece un premio de dos onzas de oro al labrador de esta ciudad y provincia , ó la de Patencia, que cultive , valiéndo</t>
  </si>
  <si>
    <t>Bercheím, Coronel</t>
  </si>
  <si>
    <t>Coronel Bercheím</t>
  </si>
  <si>
    <t>Apénás lo supo-el General Vandamme, quando se dirigió contra el enemigo con el batallón‘bá varó del Coronel Bercheím, á las ordenes del Cp— jrónel Duvey’riér; mandandó ^que lo sostuviese él regimiéntó 13.0 que acababa de llegar ai bloqueo. Éste" batallón y ofro del i3:°,una compañía de cazadoras</t>
  </si>
  <si>
    <t>Beresford, General</t>
  </si>
  <si>
    <t>General Beresford</t>
  </si>
  <si>
    <t>ada á rendirse y á capitular; pero que los articuláis de la capitulación no han sido observados. El General Beresford, los oficiales, las tropas de marina y algunos marineros de la ésquadra han quedado prisioneros de guerra* El 23 subiéron repentinamente los fondos Jpor ciento, lo que se atribula</t>
  </si>
  <si>
    <t>Bergañ, Antonio</t>
  </si>
  <si>
    <t>Antonio Bergañ</t>
  </si>
  <si>
    <t>2.0 á D. Mateo Seoane: 3.0 á D. Telesforo Barrio; y atendiendo á lo bien que desempeñó el exercicio D. Antonio Bergañ» se le dió un aecessit: los premios consistían en libros selectos pertenecientes á la facultad en que los</t>
  </si>
  <si>
    <t>Berganzá, Luis</t>
  </si>
  <si>
    <t>Luis Berganzá</t>
  </si>
  <si>
    <t>dro Lagoa, D. Sebastian Fernandez de Navarrete, D. Carlos Van-Zoelen, y los caballeros seminaristas D. Luis Berganzá, D. Bonifacio Olivencia, D. Bernabé de Otalora , D. Juan de Mazarredo, D. Juaa Ortiz de Zarate, D. Juan de Abrana, D. Pedro Cendeja, D. Pablo Unda, el cadete de reales guardias Wa</t>
  </si>
  <si>
    <t>Bergeyre, Pedro</t>
  </si>
  <si>
    <t>Pedro Bergeyre</t>
  </si>
  <si>
    <t>uijarro: procurador D. Gaspar Teruel: contadores el Sr. barón de Manuel y D. Jayme Manent: tesorero D. Pedro Bergeyre : celadores ecle« siásticos de ios exercicios espirituales el Dr. Fr. D. Tomas Benito Nadal, del orden de San Juan, y D. Francisco Alberto Miró: celadores sécula** reí ídem el Sr.</t>
  </si>
  <si>
    <t>Beriinguero, Agustín</t>
  </si>
  <si>
    <t>Agustín Beriinguero</t>
  </si>
  <si>
    <t>aña’, está hecha con el mayor esmero y exactitud, habiéndose formado los originales por el profesor D. Agustín Beriinguero, actual maestro delineador de la academia de Pilotos del departamento de Cartagena. Para ello se ha procurado elegir la posición mas pintoresca, y un punto de vista á propósito, á</t>
  </si>
  <si>
    <t>Bernabé de Otalora</t>
  </si>
  <si>
    <t>rete, D. Carlos Van-Zoelen, y los caballeros seminaristas D. Luis Berganzá, D. Bonifacio Olivencia, D. Bernabé de Otalora , D. Juan de Mazarredo, D. Juaa Ortiz de Zarate, D. Juan de Abrana, D. Pedro Cendeja, D. Pablo Unda, el cadete de reales guardias Walonas D. Félix Gilman, D. Pablo Ferrando, cadet</t>
  </si>
  <si>
    <t>D. Luis Berganza; y los seminaristas D. Pedro Sánchez Pavón, D. Pablo Unda, D. Bonifacio Olivencia, D. Bernabé de Otalora, D. Juan de Mazarredo, D. Juan de Arana", D. Pablo Ferrando, cadete del regimiento de infantería de Soria, D. Eugenio de Zuloaga, Don Josef María Jusscé y D. Josef Baqúedano. Gana</t>
  </si>
  <si>
    <t>Bernabé Salcedo</t>
  </si>
  <si>
    <t>mpeñando tan importante y tan glorioso encargo.___ Merecerá siempre citarse con distinguido aprecio D. Bernabé Salcedo, que ha traído una numerosa ^ rica colección hecha en el espacio de dos años y medio en las montañas de Santander y costa de Cantabria La aplicación de este ilustre joven, los con</t>
  </si>
  <si>
    <t>n botánico, se ha dignado S. M. mostrar el aprecio que hace del zelo, aplicación y conocimientos de D. Bernabé Salcedo, mandando publicar esta noticia en recompensa de sus tareas, en honor de la memoria de su cé ebre maestro, y para estímulo de los que se aplican á una ciencia, que por lo que cont</t>
  </si>
  <si>
    <t>Bernabeu, Fulgencio</t>
  </si>
  <si>
    <t>Fulgencio Bernabeu</t>
  </si>
  <si>
    <t>endi: teniente al subteniente de granaderos D. Francisco Pradas; y subtenencia dé bandera al cadete D. Fulgencio Bernabeu. En el regimiento de caballería del Príncipe se ha servido S. M. conceder empleo de alférez al portaestandarte D. Olaguer Desvalls: en el de Montesa compañía al ayudante, graduado</t>
  </si>
  <si>
    <t>Bernaldo de Quirós, Joaquín</t>
  </si>
  <si>
    <t>Joaquín Bernaldo de Quirós</t>
  </si>
  <si>
    <t>de 30 días, comparezcan todos los que conceptuasen tener derecho á la testamentaría del Excmo. Sr. D. Joaquín Bernaldo de Quirós, marques de Monreal, ante dicho señor y citada escribanía. Por providencia del Sr. D. León de Sagasta, teniente corregidor de esta villa, y escribanía de D. Juan de Raya,se cita,L</t>
  </si>
  <si>
    <t>Bernardino</t>
  </si>
  <si>
    <t>tiaron en 16 5 8 la ciudad de Copenhague. En esta guerra fue quando nuestro célebre militar y poeta D. Bernardino, conde de Rebolledo, á la sazón ministro de España en aquella corte, se distinguió por el valor y conocimientos con que contribuyó á la defensa del reyno y de la plaza. Al cabo de</t>
  </si>
  <si>
    <t>Bernardino González Serrano</t>
  </si>
  <si>
    <t>s, cuyo coste es de 14 rs. mensuales. Los pretendientes dijrigirán sus memorialesá los comísIonados D. Bernardino González Serrano y. D. Gerónimo Yeguas , quienes les instruirán de todo. ✓■y Iitado generai de la Real Armada. Se hallará en el despacho de la Imprenta</t>
  </si>
  <si>
    <t>Berne, Francisco Xavier</t>
  </si>
  <si>
    <t>Francisco Xavier Berne</t>
  </si>
  <si>
    <t>na ración de la parroquial de Magallon, diócesi de Zaragoza, vacante por muerte de D.Josef Vidal: á D. Francisco Xavier Berne para otra de la de Pina, en la misma diócesi , por fallecimiento de D. Gregorio Cortes: á D. Pedro Artajona para otra ración patrimonial de la parroquial de Fuen-¿ tes de Ebro, en</t>
  </si>
  <si>
    <t>Bertazoni, Francisco</t>
  </si>
  <si>
    <t>Francisco Bertazoni</t>
  </si>
  <si>
    <t>la comandancia de la tro* pa veterana y de milicias de Chiloe, con el grado de teniente coronel , á D. Francisco Bertazoni, capitán del regimiento de infantería de Navarra. "" ------- ;---------------- 7-------- ■-------- 7---------- ---- ---- ........... .... La real junta de hospitales General y .de</t>
  </si>
  <si>
    <t>Bertendona, Pablo</t>
  </si>
  <si>
    <t>Pablo Bertendona</t>
  </si>
  <si>
    <t>e Tagle: en el de Calatrava tenencia al alférez D. Benito Esteve; y esta resulta al portaestandarte D. Pablo Bertendona: en el de Santiago empleo de portaestandarte al sargento primero D. Juan Qnesada; y en el de dragones del Rey ayudantía al teniente D. Isidoro Sacristán. S. M. se ha servido confe</t>
  </si>
  <si>
    <t>Berthier, Alexandro (príncipe)</t>
  </si>
  <si>
    <t>Príncipe Alexandro Berthier</t>
  </si>
  <si>
    <t>uerque, llamado el Decidido, ha hecho entrar en el Texel la embarcación inglesa Nicolás y Marta. El Príncipe Alexandro Berthier, vi ce- condestable, ha dirigido á la junta de regencia del reyno de Westfalia una carta del tenor siguiente: ,,Señores: la intención del Emperador ha sido siempre que los estados</t>
  </si>
  <si>
    <t>Berthier, Mariscal</t>
  </si>
  <si>
    <t>Mariscal Berthier</t>
  </si>
  <si>
    <t>illermo Kobel , pintor distinguido en nuestra nación, ha hecho tres quadros históricos de orden del Mariscal Berthier. Representan tres asuntos de la última campaña: el i.° es el sitio dé Ulma en el momento en que los Franceses gariban la famosa montaña y los reductos de S. Miguel: el 2.0 es la e</t>
  </si>
  <si>
    <t>Berthoud, Fernando</t>
  </si>
  <si>
    <t>Fernando Berthoud</t>
  </si>
  <si>
    <t>701 cal de campo D. Juan de Kindelan, y á otros varios oficiales de la misma nación. ... . Mr. Fernando Berthoud, individuo del instituto imperial y de la legión de Honor, ha fallecido el 20 del corriente en Groslay, cerca de París, á los 80 años de su edad. Ha sido uno de los artífices que</t>
  </si>
  <si>
    <t>Bertliier, Alexandro (príncipe)</t>
  </si>
  <si>
    <t>Príncipe Alexandro Bertliier</t>
  </si>
  <si>
    <t>mitirlo á su- meSa ^y le tía dado muchas pruébus de g/aude aprecio. Ultimamente le ha comunicado el Príncipe Alexandro Bertliier, de ór</t>
  </si>
  <si>
    <t>Bertolet</t>
  </si>
  <si>
    <t>estro sabio Martí, de Barcelona, de quien hemos sabido, por noticia que ha dado en París Mr. Biot á Mr. Bertolet, que había extraído también una gran porción de azúcar de uva. Otras muchas personas de esta corte y de fuera, que nos han pedido tierra de Chinchón para hacer experiencias, ó bus</t>
  </si>
  <si>
    <t>Bervic</t>
  </si>
  <si>
    <t>ia y Portugal y el ministro de Wiirtemberg. En seguida obtuvo audiencia el instituto; su presidente Mr. Bervic arengó á S. M., quien contestó con el mayor agrado, y conversó largo rato con los individuos del cuerpo. El Rey de Holanda está en Tarascón, y toma las aguas de Ussat, que hasta a</t>
  </si>
  <si>
    <t>Besada, Juan Antonio Alonso</t>
  </si>
  <si>
    <t>Juan Antonio Alonso Besada</t>
  </si>
  <si>
    <t>mo entero, y quarto. Quien quisiere mejorar dicha postura acuda por la escribanía que excrce en Tuy D. Juan Antonio Alonso Besada. Por la comisión real de la diócesi de Sevilla, y en virtud de providencia de D. Tomas Perez de Junguitu, juez comisionado regio en ella, se ha señalado el dia 31 del presente par</t>
  </si>
  <si>
    <t>Bessieres, Mariscal</t>
  </si>
  <si>
    <t>Mariscal Bessieres</t>
  </si>
  <si>
    <t>en Pleusk, arrojando de allí aFenémigo. El Mariscal Sóult hav pasado el Vístula por Vizogrod----_E1 Mariscal Bessieres ilegá ei 18 á Kioi, con el segundo cuerpo dé'reserva de cabaile»ría , cuya vanguardia ha entrado ya en Sipiez-. Ha habido diferentes reencuentros con ios húsares Prusianos, en que</t>
  </si>
  <si>
    <t>esultas de este cómbate han sido el apódexátño$ de 50b pasioneros, 5 cañones y dé 2 estandartes. El Mariscal Bessieres elogia mucho á, Ls Genérales Grouchy, Rouget, y al ^Gefe de su Estado mayor el General Roiissel. El Comandante de esquadron Renié , del Regimiento de dragones núm. ó, se ha distingu</t>
  </si>
  <si>
    <t>El Mariscal Ney, que era dueño de Thorn hacia algunos dias, reunió todas sus fuerzas en Gallup. El Mariscal Bessieres con el segundo cuerpo de caballería de la reserva, compuesto de las divisiones dé dragones Sahuc y Grouchy, y de la división de coraceros de Hautpoult, salió de Thorn dirigiéndose</t>
  </si>
  <si>
    <t>quias del exército Prusiano, que huyeron á los bosques de Lauterburg con pérdida considerable; y el Mariscal Bessieres cortaba tres esquadrones de húsares, los hacía prisioneros, y se apoderaba de muchos cañones. Combate de 'Nasielsk. El dia 24 la reserva de caballería y el cuerpo del Mariscal Dav</t>
  </si>
  <si>
    <t>exército, En los de la izquierda tienen sus tropas el Mariscal Ney, el Príncipe de Ponte Corvo y el Mariscal Bessieres. Los cuerpos de exército ’ de les Mariscales Soult, Davoust y Lannes ocupan á Pultusk y las oriiias del Bug, £1 exército enemigo continúa su retirada. El imperador llegó ayer aquí</t>
  </si>
  <si>
    <t>Betbecé Llano y Marroco, Francisco</t>
  </si>
  <si>
    <t>Francisco Betbecé Llano y Marroco</t>
  </si>
  <si>
    <t>íaña y Valera, D. Francisco Machado Salcedo Yañes de Burgos, D. Carlos, Miyares Mancebo y Lo} zaga, D. Francisco Betbecé Llano y Marroco , D. Santiago Piñeyro de las Cafas y Malignado», D. Juan de Mata Marina Arnaiz y León, D. Víctor Duro.Saenz y Solano, D. Fernando Ruiz Lorenzo y^Ruiz, D. Francisco Brias Aguilera</t>
  </si>
  <si>
    <t>Beulf, Estéban</t>
  </si>
  <si>
    <t>Estéban Beulf</t>
  </si>
  <si>
    <t>Severino de Salazar, Doña Josefa Zurariain,D.Francisco del Valle, D. Francisco Fernandez de Villa, D. Estéban Beulf, D. Cayetano Franques, D. Pascual &lt;Gisbert,T&gt;. Andrés de A yala,D.Félix deRivas, las memorias deVargas y Doña Leonor Perez de Arraciel, á quienes les está comunicado traslado de l</t>
  </si>
  <si>
    <t>Beuuingsen, General</t>
  </si>
  <si>
    <t>General Beuuingsen</t>
  </si>
  <si>
    <t>arte del exército con que el General MÍchelson había entrado en Valaquia retrocede para reforzar al General Beuuingsen. La vanguardia de la primera coluna está ya atravesando la Volhynia , y la segunda ha hecho alto en Luch, aguardando su artillería y bagages. Parece que han de ir á Polonia tres e</t>
  </si>
  <si>
    <t>Beye de Cisneros, Francisco</t>
  </si>
  <si>
    <t>Francisco Beye de Cisneros</t>
  </si>
  <si>
    <t>nuestra señora de Guadalupe de México, vacante por fallecimiento de D. Francisco Mariano Velez , á D. Francisco Beye de Cisneros, doctoral de la misma colegiata: para la ración vacante en la metropolitana de México, por muerte de D. Josef Mariano Ramírez, á D. Isidoro Sainz de Alfaro; y para la media - raci</t>
  </si>
  <si>
    <t>Bibiano Marcheson</t>
  </si>
  <si>
    <t>27 de octubre de 1807</t>
  </si>
  <si>
    <t>mS bernia subtenencia de bandera al sargento primero de granaderos D. Bibiano Marcheson. JEu los regimientos de dragones del Rey y Almansa se ha servido S. M. conceder empleos de alférez á ios portaguiones D. Josef Tigero y D. Domingo Pascual. £n América. El Rey se h</t>
  </si>
  <si>
    <t>Bickuell</t>
  </si>
  <si>
    <t>o, en que se encargaba á Mr. Jervis la continuación d&lt; so, y le agregaba en calidad de substituto á Mr. Bickuell , procui almirantazgo. Después fueron oidos los testigos, que son lord lord Whitworth, Mrs. Huskisson, Bourne y Marsden, los capitar Edwards, Parker y Dundas , y Tanghlan Maclean,</t>
  </si>
  <si>
    <t>Bilbao, Juan</t>
  </si>
  <si>
    <t>Juan Bilbao</t>
  </si>
  <si>
    <t>teniente graduado de capitán D. Josef Paz y Montañez: en el de América tenencias á los subtenientes D. Juan Bilbao y D. Manuel Basanta : en él de Soria tenencia al subteniente de granaderos D. Gregorio Espinosa, y subtenencias de bandera al* sargento primero dé granaderos Don. Antonio Martin, y al</t>
  </si>
  <si>
    <t>Bilin, Pedro</t>
  </si>
  <si>
    <t>Pedro Bilin</t>
  </si>
  <si>
    <t>de infantería de Valencia al Comandante del tercer batallón del del Príncipe, graduado de Coronel, D. Pedro Bilin : la Sargentía mayor del de Uitonia al Capitán dtl de Voluntarlos de la Corona D Henrtque O DoneIl;y Ayudantía en el de la Princesa al Teniente de granaderos, graduado de Capitán,</t>
  </si>
  <si>
    <t>Binzer</t>
  </si>
  <si>
    <t>ción de Copenhague se compone del Príncipe Federico de Hesse, del mayor general conde Baudisiin, de Mr. Binzer, y del auditor general Mr. de Rosenstand. También ha sido arrestado el mayor general Gedde, gefe del cuerpo de ingenieros.—Ha salido falsa la noticia que se había esparcido de la</t>
  </si>
  <si>
    <t>Biosca, Ramón</t>
  </si>
  <si>
    <t>Ramón Biosca</t>
  </si>
  <si>
    <t>la forma y efecto de los caractéres musicales para uso de los principiantes, dispuesto en verso por D. Ramón Biosca, presbítero, capellán de $. M. en el real monasterio de señoras descalzas de esta corte. Véndese á 4 rs. en el puesto de música de Mintegui, frente á la Soledad. Puede ir en carta</t>
  </si>
  <si>
    <t>Biot</t>
  </si>
  <si>
    <t>ellos á nuestro sabio Martí, de Barcelona, de quien hemos sabido, por noticia que ha dado en París Mr. Biot á Mr. Bertolet, que había extraído también una gran porción de azúcar de uva. Otras muchas personas de esta corte y de fuera, que nos han pedido tierra de Chinchón para hacer expe</t>
  </si>
  <si>
    <t>BJazquez, Antonio</t>
  </si>
  <si>
    <t>Antonio BJazquez</t>
  </si>
  <si>
    <t>stalozziano á D. Sebastian de Solis y Becerra, alcalde del crimen de la chancillería de Valladolid; D. Antonio BJazquez,.abanderado de reales Guardias Españolas; D. Francisco Xavier Cabanes?, abanderado de reales Guardias Waionas; D. Eugenio de Loque, vice-secretario de la junta de exámenes de esta</t>
  </si>
  <si>
    <t>Blanca</t>
  </si>
  <si>
    <t>l autor. Se hallará en la librería y almacén de papel y cartones de Gpmez, calle de las Carretas. ! Doña Blanca: Viriato: tragedias de D. Josef María Iñiguez, á 4 rs. sueltas, y juntas en pasta á 10. = Reflexiones sobre la ortografía castellana,y modo de simplificar y fixar su escritura. Se</t>
  </si>
  <si>
    <t>Blanchard, Capitán</t>
  </si>
  <si>
    <t>Capitán Blanchard</t>
  </si>
  <si>
    <t>o reapresada por las lanchas de los pescadores de Bellile.__ Ei corsario la Constance, de St. Malo, Capitán Blanchard, ha cogido un buque ingles procedente de la Barbada.__ El corsario el General Perignon, deí jpiismo puerto, Capitán Fromy, ha entrado después de 30 días de crucero ;con las 3 pres</t>
  </si>
  <si>
    <t>Blanco Cabrera, Tomás</t>
  </si>
  <si>
    <t>Tomás Blanco Cabrera</t>
  </si>
  <si>
    <t>ncha : d capitanes de fragata á los tenientes de navio D. Joaquín Ruiz Huidobro, D. Juan de Vargas, D. Tomas Blanco Cabrera yD.Angel de Mlcbelena: id tenientes de navio á los de fragata D. Josef dejCórdoba y Rúxás ? Di Cándido. de la Sala, D. ¡Josef de Posada, D. Josef Qtiirogá y; De Jacinto Ro«•xnarate:</t>
  </si>
  <si>
    <t>Blanco Valdes, Antonio</t>
  </si>
  <si>
    <t>Antonio Blanco Valdes</t>
  </si>
  <si>
    <t>eneralísimo Almirante, plazas de discípulos observadores del real instituto militar Pestalozziano á D. Antonio Blanco Valdes y á D. Antonio de Oviedo y..Portal, comisionados por el zelo y</t>
  </si>
  <si>
    <t>Blanco, Alexandro</t>
  </si>
  <si>
    <t>Alexandro Blanco</t>
  </si>
  <si>
    <t>CRABADO. Nueva estampa de la verdadera efigie dei santísimo Cristo de la Fe,dibuxada y grabada por D. Alexandro Blanco. Se vende á 5 rs. en las librerías de Escribano,' de Barco, de Esparza y de Quirós. MUSICA. Fn la librería de Campo, calle de Alcalá, se halla la música nueva siguiente: g trios á</t>
  </si>
  <si>
    <t>Blanco, Antonio</t>
  </si>
  <si>
    <t>Antonio Blanco</t>
  </si>
  <si>
    <t>ahorro de dos fanegas de semilla, que la mayor parte fué quarenteno: 600 rs. á Antonio Blanco, vecino de Brañes, Conce jode Oviedo, porque acreditó que de sus propias colrrtenas recogió 48 enxambtes nuevos en el presente año, sin lesión ni muerte de las abejas madres: 300 rs. ai m</t>
  </si>
  <si>
    <t>Blanco, Francisco</t>
  </si>
  <si>
    <t>Francisco Blanco</t>
  </si>
  <si>
    <t>ey se ha servido conferir el empleo de coronel del regimiento de infantería del Príncipe al coronel D. Francisco Blanco, teniente coronel del de Africa. S. M. se ha servido conceder en el regimiento de infantería de Cantabria ayudantía al teniente de granaderos, graduado de capitán, D. Josef Salomó</t>
  </si>
  <si>
    <t>Blanco, Manuel</t>
  </si>
  <si>
    <t>Manuel Blanco</t>
  </si>
  <si>
    <t>o, en el presente curso, de D. Agustín de Sojo, á D. Josef Salazar al primero, y áD. Josef Chacón y D. Manuel Blanco al segundo. En la dé física experimental, del cargo del substituto D. Antonio Peña, se juzgó digno del primer premio á D. Diego Mesía. En la de astronomía y geografía, del cargo d</t>
  </si>
  <si>
    <t>Blanco, Nicolás</t>
  </si>
  <si>
    <t>Nicolás Blanco</t>
  </si>
  <si>
    <t>a en 83,358 rs. Quien quisiere hacer postura acuda á la escribanía de la subdelegacion que despacha D. Nicolás Blanco. Por providencia deD. Antonio Basilio de Acosta, comisionado para la venta de bienes eclesiásticos eti la diócesi de Sigüenza, se están subastando una casa,</t>
  </si>
  <si>
    <t>Blandin, Domingo</t>
  </si>
  <si>
    <t>Domingo Blandin</t>
  </si>
  <si>
    <t>lmente ha nombrado S. M. para una ración de la metropolitana de Caracas, va* cante por promoción de D. Domingo Blandin,á D. Francisco Antonio Pimentel; y para la media-ración que este obtenia á D. Juan Agustín Díaz Argote. ESTADISTICA. El imperio de Rusia apenas tiene igual en territorio, y en pob</t>
  </si>
  <si>
    <t>Blanner Hasset</t>
  </si>
  <si>
    <t>donde se levantará ana batería de 50 cañones para defensa del puerto. El 1? de julio fue arrestado Mr. Blanner Hasset, acosado de crimen de estado: inmediatamente fue conducido á Richemont, en Virginia, donde se juzgará su causa. Parece que está implicado én la del coronel Burr. j RUSIA, Petersbu</t>
  </si>
  <si>
    <t>Blas Luis</t>
  </si>
  <si>
    <t>de Palíamelo, otro; D. Miguel Carrillo y Barnuevo otro; DiMatíál Márkiv diputado de abastos, otro; D. Blas Luis, procurador persQnero, otro; D. Vicente García , escribano del ilústre ayuntamiento,~aos ;* y un socio, que no quiso nombrarse, otro. Procedióse al sorteo dé éstós ¡nuevos dotes e</t>
  </si>
  <si>
    <t>Blasco, Pablo</t>
  </si>
  <si>
    <t>Pablo Blasco</t>
  </si>
  <si>
    <t>lla de la Catedral de Málaga se. publicó baxo el nombre de D. Felipe Octon y Heredia á solicitud de D. Pablo Blasco,: Presbítero, Tiple de la Real Capilla; por D. Joaquín Murgüía, Prebendado, Organista: de dicha Catedral, autor de los Puntos ; papel en 8.® marquilla. Véndese en la librería de M</t>
  </si>
  <si>
    <t>Blasquez, Francisco</t>
  </si>
  <si>
    <t>Francisco Blasquez</t>
  </si>
  <si>
    <t>encia y rebeldía conforme á derecho, y les parará el perjuicio que haya lugar. Por fallecimiento de D. Francisco Blasquez se halla vacante en Sevilla la cátedra de menores y rudimentos de latinidad, que fue del colegio de S&gt; Hermenegildo de los Jesuítas, dotada con 600 ducados anuales, y para proveer</t>
  </si>
  <si>
    <t>Blazquez y Alava, Francisco Xavier</t>
  </si>
  <si>
    <t>Francisco Xavier Blazquez y Alava</t>
  </si>
  <si>
    <t>alacio de Logroño, diócesi de Calahorra, vacante por fallecimiento de D. Vicente González Alvaro, á D. Francisco Xavier Blazquez y Alava; y para dos beneficios patrimoniales déla parroquia de Falces, en la diócesi de Pamplona, vacantes por muerte de D. Manuel Maya García y Don Francisco Torres, á D. Tadeo Navaz y á</t>
  </si>
  <si>
    <t>Blein, Coronel</t>
  </si>
  <si>
    <t>Coronel Blein</t>
  </si>
  <si>
    <t>l enemigo por diferentes partes, de suerte que no pudiese adivinar el verdadero punto de ataque. El Coronel Blein propuso la construcción de un puente, que debía armarse sobre bancos y pontones para pasar los dos fosos de la puerta de Schweidnitzcon tropas bien resueltas podía intentarse el p</t>
  </si>
  <si>
    <t>Blummer</t>
  </si>
  <si>
    <t>brado al barón de Globig su enviado extraordinario cerca del emperador Napoleón, y por secretario á Mr. Blummer, conocido por sus viages á Francia, Italia, Inglaterra &amp;c. Las últimas cartas que se han recibido de Dalmacia manifiestan,que hay tranquilidad ea aquella provincia. Los rusos cont</t>
  </si>
  <si>
    <t>Boada de las Costas, Pedro</t>
  </si>
  <si>
    <t>Pedro Boada de las Costas</t>
  </si>
  <si>
    <t>de Salou. Éste nuevo plan geográfico del canal de Reus Itp dedica y consagra obsequioso á S. A. S. D. Pedro Boada de las Costas, alcalde del crimen de la real audiencia de Barcelona. Se hallará en la librería de la viuda de Quiroga, calle de las Carretas, en la de Alonso, frente á las gradas de S. Felipe,</t>
  </si>
  <si>
    <t>Bobadilla, Antonio</t>
  </si>
  <si>
    <t>Antonio Bobadilla</t>
  </si>
  <si>
    <t>ello los exercicios referidos,comparecerán en esta corte ante el secretario de la junta escolástica D. Antonio Bobadilla por sí, ó por medio de procurador con poder bastante, á firmar la oposición que hayan de hacer , para lo qual se señalan 30 dias de término útil y perentorio, que cumplirán el dia</t>
  </si>
  <si>
    <t>Bober, Juan</t>
  </si>
  <si>
    <t>Juan Bober</t>
  </si>
  <si>
    <t>rii y Valero para la vara de alcalde mayor teniente segundo de asistente de la ciudad de Sevilla: á D. Juan Bober para la-de teniente tercero de la propia ciudad; y á D. Ignacio Cúseme para la vara de alcalde mayor de la villa de Huercal Obera-----S. M. ha venido en aprobar la permuta que Iti</t>
  </si>
  <si>
    <t>Boileau Despreaux</t>
  </si>
  <si>
    <t>ne la aritmética y geometría, se hallará en la librería de Sancha, calle del Lobo. Arte poética de: Mr. Boileau Despreaux, traducida en verso suelto castellano, y dedicada á la clase de poética del real seminario de Nobles de Madrid por D. Juan Bautista de Arriaza. Se hallará en la librería de Castil</t>
  </si>
  <si>
    <t>Boltri, Miguel</t>
  </si>
  <si>
    <t>Miguel Boltri</t>
  </si>
  <si>
    <t>de la Mancha á D. Juan Bautista de Erro y Azpiroz, que lo es de la de Soria; y para esta resulta á D. Miguel Boltri, oficial primero del archivo de la secretaría de Estado del despacho de Gracia y Justicia. También ha concedido S. M. los honores de contador de exército á D. Vicente Casajus, sec</t>
  </si>
  <si>
    <t>Bonafos, Cayetano</t>
  </si>
  <si>
    <t>Cayetano Bonafos</t>
  </si>
  <si>
    <t>Figueras á D. Ignacio González, guarda-almacén extraordinario de la de Rosas; y para esta resulta á D. Cayetano Bonafos. El real Seminario de nobles de Madrid celebró exámenes particulares en diciembre último, con arreglo á sus cofcstituciones, de todas las clases de ciencias y habilidades que se e</t>
  </si>
  <si>
    <t>Bonifacio Ferrer</t>
  </si>
  <si>
    <t>e Valdecristo por D. Pedro iv de Aragón, y del monasterio de Portaccli: 4 opúsculos inéditos del V. D. Bonifacio Ferrer, hermano de S. Vicente: una carta inédita de Zurita: otra de loa jurados de Valencia á Carlos v r 4 documentos justificativos de! patre»</t>
  </si>
  <si>
    <t>Bonifacio Morcillo</t>
  </si>
  <si>
    <t>21. .. 27· Bonifacio Morcillo ... de Antonio... Ciezar en Murcia .......... J798 .. Muert. 5 17 ... 2 3. DiegoS:mchez ......... de Juan ........ A,·ita ................</t>
  </si>
  <si>
    <t>Bonifacio Olivencia</t>
  </si>
  <si>
    <t>stian Fernandez de Navarrete, D. Carlos Van-Zoelen, y los caballeros seminaristas D. Luis Berganzá, D. Bonifacio Olivencia, D. Bernabé de Otalora , D. Juan de Mazarredo, D. Juaa Ortiz de Zarate, D. Juan de Abrana, D. Pedro Cendeja, D. Pablo Unda, el cadete de reales guardias Walonas D. Félix Gilman, D</t>
  </si>
  <si>
    <t>ernandez de Navarrete y D. Luis Berganza; y los seminaristas D. Pedro Sánchez Pavón, D. Pablo Unda, D. Bonifacio Olivencia, D. Bernabé de Otalora, D. Juan de Mazarredo, D. Juan de Arana", D. Pablo Ferrando, cadete del regimiento de infantería de Soria, D. Eugenio de Zuloaga, Don Josef María Jusscé y D</t>
  </si>
  <si>
    <t>Bonilla, Gerónimo</t>
  </si>
  <si>
    <t>Gerónimo Bonilla</t>
  </si>
  <si>
    <t>nombrar para da dignidad de maestre scuela.de la catedral ¡de Popayan, vacante por fallecimiento de D. Gerónimo Bonilla yáD. Andrés Mariano Perez jde ¡Valencia ? para la tesorería que este obtiene á D. Juan Mariano de Grijalba: para la ración que este dexa á D. Francisco Xavier Rodríguez; y para la m</t>
  </si>
  <si>
    <t>Bonilla, Juan Alexandro</t>
  </si>
  <si>
    <t>Juan Alexandro Bonilla</t>
  </si>
  <si>
    <t>á señalado para su reate ti 2$ del corrienté. Quien quisiere hacer postura acuda á ia escribanía de D. Juan Alexandro Bonilla. Por providencia de D. Agustín Lozano, comisionado regio en la diócesi de Orihuela , se ha señalado el 24 del corriente para el remate de las fincas siguí en test 28 tahullas de t</t>
  </si>
  <si>
    <t>Bonne</t>
  </si>
  <si>
    <t>rente á?las gradas de S. Felipe. Idea de la esfera,ó principios sobre la geografía astronómica, por Mr. Bonne: obra traducida del francés, mejorada con algunas notas , y arreglada al meridiano de Madrid; acompáñala una lámina para la mejor inteligencia del texto. El contenido de esté escr</t>
  </si>
  <si>
    <t>l Real, y en Barcelona en la de Brusi. Idea de la esfera ó principios de geografía astronómica, por Mr. Bonne, primer hidrógrafo de la marina francesa: obra traducida del francés,mejorada con algunas notas, y arreglada al meridiano de Madrid: en ella se reúnen con claridad y exactitud qua</t>
  </si>
  <si>
    <t>Boocker</t>
  </si>
  <si>
    <t>13 de noviembre de 1807</t>
  </si>
  <si>
    <t>que acaba de entrar en el Támesis, confirma desgraciadamente la verdad de estas nuevas. Refiere que Mr. Boocker, director de la factoría inglesa de Petersburgo, dio aviso á Cronstadí de que se iban á embargar todos ios buques ingleses existentes en los puertos de Rusia. A conseqiiencia de e</t>
  </si>
  <si>
    <t>Bootin</t>
  </si>
  <si>
    <t>.6?5 tfa la Georgia. Mr. Bootin, coronel francés , te halla cómo es notorio en el exército del gran Visir. •y Las cartas del norte de Alemania hablan mucho de un proyecto de dirérsion, convenido éntre ios gabine</t>
  </si>
  <si>
    <t>Borges, Vicente</t>
  </si>
  <si>
    <t>Vicente Borges</t>
  </si>
  <si>
    <t>Fran.isco Guerrero, D. Juan Mier y Teran y D. Luis_ Ferriet; á Tenienres al Subteniente de fulleros D. Vicente Borges, y los de granaderos D. Francisco Perez..y Muro, D. Matías Cervera y D. Francisco Morejon ;a Subtenientes de granaderos á les de fusileros D. Antonio Duvreüill, D. Francisco Cañed</t>
  </si>
  <si>
    <t>Borghese, Príncipe</t>
  </si>
  <si>
    <t>Príncipe Borghese</t>
  </si>
  <si>
    <t>a vez la blandura ; y los caminos, que al parecer iban mejorándose j están tan malos como antes. El Príncipe Borghese se ha mantenido constantemente á la cabeza del regimiento i.° de carabineros de su mando. Los valientes carabineros y, coraceros han deseado con impaciencia llegar á las manos con</t>
  </si>
  <si>
    <t>4 de julio de 1807</t>
  </si>
  <si>
    <t>57 (extraord.)</t>
  </si>
  <si>
    <t>s sugetos que Le cercan.__ Anteayer 24,á las 5 de la tarde,llegó al palacio deSt. Cloud S. A. I. el Príncipe Borghese con la noticia de parte de S. M. el Emperador, á S. M. la Emperatriz y Reyna, de la victoria que el 14 de este mes han conse'guido en Eriedland lastrópas del exército grande, mand</t>
  </si>
  <si>
    <t>ía preparado, se empezó el. bayle, rompiéndole S. M. el Rey de Westfalia, el gran duque de Berg* el Príncipe Borghese y el gobernador de París, quienes baylaron con SS. A A. II. la gran duquesa de Berg y la gran duquesa hereditaria de Badén, y con otras damas de la corte. . La Emperatriz se retiró á</t>
  </si>
  <si>
    <t>Borgunio, Pedro</t>
  </si>
  <si>
    <t>Pedro Borgunio</t>
  </si>
  <si>
    <t>tas sobrantes de su pueblo. D. Mariano Ubach, en Barcelona. D. Joaquín García Domenecn, en Vinaroz. D. Pedro Borgunio, en Alicante. D. Antonio Díaz, en Paniza, campo de Cariñena. D. Manuel Mancharas, en la Puebla de Montalvan. D. Matías Gregorio de Lomas, en Minglanilla. D. Joaquín Valero, en la</t>
  </si>
  <si>
    <t>BoschyD, Francisco</t>
  </si>
  <si>
    <t>Francisco BoschyD</t>
  </si>
  <si>
    <t>n Juan, y D. Vicente Marques; y celadores de las obras de los presos D. Juan Cros, D. Manuel Muñoz, D. Francisco BoschyD. Joaquín Puchalt. Concluí Ja la elección se dio cuenta de los socios que han fallecido el año pasado 180Ó, y sé trataron otros varios puntos pertenecientes i la misma asociación,</t>
  </si>
  <si>
    <t>Botling</t>
  </si>
  <si>
    <t>archan directamente á Memel, de donde el primero se encaminará á Viena, y el segando á Petersburgo. Mr. Botling, agente del Emperador de Rusia,ha llegado á esta capital. La dirección suprema de quarentenas, en virtud de los informes qtíe acaba de recibir, ha mudado las últimas disposiciones</t>
  </si>
  <si>
    <t>Bouche</t>
  </si>
  <si>
    <t>nicaciones y ios acopios de víveres. ' : Ayer á las 2 de la tarde, delante, de un numeroso concurso Mr. Bouche* hizo en el jardín botánico una experiencia para aplicar la electricidad á las baterías de cañones. En lugar de estos se habían colocado en el jardín 100 petardos unidos entre sí</t>
  </si>
  <si>
    <t>Boulard</t>
  </si>
  <si>
    <t>erpo legislativo, y que este ha mandado colocar en su biblioteca, se cuenta la traducción hecha por Mr. Boulard, individuo del mismo cuerpo, de la obra inglesa intitulada: De les beneficios de la religión cristiana, ó efectos de la religión en los pueblos antiguos y modernos , por Eduardo A</t>
  </si>
  <si>
    <t>Bouman, Nicolás</t>
  </si>
  <si>
    <t>Nicolás Bouman</t>
  </si>
  <si>
    <t>e D. Gaspar Brandenberg; y en el de Reding, número 2.°, á subteniente de granaderos ai de fusileros D. Nicolás Bouman. La real academia de la Historia, con arreglo á sus estatutos, celebro junta pública la tarde del 31 del mes próximo pasado en la real casa de la Panadería, donde reside. Se dio p</t>
  </si>
  <si>
    <t>Bourdaiseau, María</t>
  </si>
  <si>
    <t>María Bourdaiseau</t>
  </si>
  <si>
    <t>ga en la nariz; padecía algo de demencia. Quien supiere de su paradero se servirá avisar á su madre Doña María Bourdaiseau, que vive en dicha ciudad, calle del Pozo. IIBROS. Vidas de españoles célebres, por D. Manuel Josef Quintana: un tomo en B.6 mayor. Contiene las vidas del Cid ,de Guzman el Bueno,</t>
  </si>
  <si>
    <t>señales en el carrillo derecho , y se halla embarazada. Quien sepa su paradero, sírvase avisarlo á Doña María Bourdaiseau, vecina de dicha ciudad de Badajoz, que vive en la calle del Pozo. LIBROS. Compendio de la historia natural de Buffon, clasificado según el sistema de Linneo por Renato Ricardo Ca</t>
  </si>
  <si>
    <t>Bourgoiag</t>
  </si>
  <si>
    <t>ano de Saxonia un Príncipe dispuesta siempre á hacerle justicia.crPor el ministro plenipotenciario, Mr. Bourgoiag. =s Firmado, Le Febure GRAN BRETAÑA. Londres 11 de noviembre. La embarcación la Revanche^ que debía tomar á su bordo á Mr. Monroe, ha conducido, según dicen, desde las costas de I</t>
  </si>
  <si>
    <t>Bourgoing</t>
  </si>
  <si>
    <t>xtrangeros. Ningún individuo del cuerpo diplomático ha ido á este viage sino el ministro de Francia Mr. Bourgoing, que hace 8 dias salió para Berlín, y debía juntarse con la comitiva en Posen. Los saxones han manifestado en esta ocasión el grande afecto que profesan á su Soberano. Un inmenso</t>
  </si>
  <si>
    <t>Bourienne</t>
  </si>
  <si>
    <t>mbrétf de tropas ligeras holandesas. _ El mismo dia se cantó en la capilla del ministro de Francia, Mr. Bourienne, un Te Deum solemne en acción de gracias por la paz hecha entré el Emperador de los franceses ,Rey de Italia , y&gt; los Monarcas ruso y prusiano. Asistieron á esta función el estado</t>
  </si>
  <si>
    <t>Boutrau</t>
  </si>
  <si>
    <t>inguido mucho. Mr. Launay , Capitán de Ja compañía escogida del mismo Regimiento,, ha sido, muerto. Mr. Boutrau, Edecán del Mariscal Bessieres, há sido herido. Nuestra pérdida es poco considerable, pues solo hemos tenido 8 hombres muertos" y 20 heridlos. Los 2 estandartes fuéron cogidos, un</t>
  </si>
  <si>
    <t>Bouvard</t>
  </si>
  <si>
    <t>del embaxador han venido, el Príncipe Gargarin, y Mrs. de Beckendorf, de Nesselrode y. de Gourbe-w. Mr. Bouvard, del instituto é individuo de la junta de longitudes, ha publicado en el monitor del i.°de noviembre el artículo siguiente i „El cometa descubierto en Marsella el 20 de setiembre</t>
  </si>
  <si>
    <t>Boville, Rafael</t>
  </si>
  <si>
    <t>Rafael Boville</t>
  </si>
  <si>
    <t>duado de Capitán, D. Francisco Arnauda ; y Tenencia en el de Cantabria ai Subteniente de granaderos D. Rafael Boville: también ha conferido Compañía en el Regimiento de infantería de Soria á su Caballero Page D. Josc-f María de Arce. En América. En el Regimiento de Milicias disciplinadas de cabal</t>
  </si>
  <si>
    <t>Boyer</t>
  </si>
  <si>
    <t>esta colección, á 12 rs. cada tomo en rústica y á 14 en pasta. ' Lecciones del ciud. Boyer sobre las enfermedades de los huesos, refundidas en un tratado completo de esías enfermedades, con láminas, por Anth. Richerand, profesor de anatomía &amp;c., trad</t>
  </si>
  <si>
    <t>Bracamente, Nicolás</t>
  </si>
  <si>
    <t>Nicolás Bracamente</t>
  </si>
  <si>
    <t>llería de Truxillo, en el reyno del Perú, se ha servido el Rey promover á sargento mayor al capitán D. Nicolás Bracamente, marques de Herrera y Vailehermoso; á capítan de carabineros á D. Manuel Bracamonte; á tenientes á los alféreces D. Gerónimo de la Torre y D. Joaquín Acasusoj á alféreces á i®s ca</t>
  </si>
  <si>
    <t>Bracamonte, Manuel</t>
  </si>
  <si>
    <t>Manuel Bracamonte</t>
  </si>
  <si>
    <t>yor al capitán D. Nicolás Bracamente, marques de Herrera y Vailehermoso; á capítan de carabineros á D. Manuel Bracamonte; á tenientes á los alféreces D. Gerónimo de la Torre y D. Joaquín Acasusoj á alféreces á i®s cadete»</t>
  </si>
  <si>
    <t>Brandenberg, Gaspar</t>
  </si>
  <si>
    <t>Gaspar Brandenberg</t>
  </si>
  <si>
    <t>8)7 Luís Schayber; á subteniente de fusileros al cadete D. Gaspar Brandenberg; y en el de Reding, número 2.°, á subteniente de granaderos ai de fusileros D. Nicolás Bouman. La real academia de la Historia, con arreglo á sus estatutos, celebro junta pública</t>
  </si>
  <si>
    <t>Brelinski y Mr</t>
  </si>
  <si>
    <t>‘.' # . . tas Mr. de Gütakowski, el Conde Estanislao Potocki, Mr. Wybicki, el Condo de Dzialyiuki , Mr. Brelinski y Mr. Sabolinski.” ' Se asegura que el Príncipe de Ponte- Corvo está nombrado Generalísimo de las tropas polacas. FRUSTA. Berlín gi de enero. El Mariscal Massena debedlegar hoy á esta</t>
  </si>
  <si>
    <t>Brenton</t>
  </si>
  <si>
    <t>destinos los diferentes armamentos y convoyes que estaban detenidos -por los vientos contra, ios. . Mr. Brenton, Capran de la Minerva } ha sido cangeado con el Capitán francés7 P Infernet, que fué hecho prisionero en el combate de Trafálgar. ¿ r Antes de a} er por la mañana besó la mano á S</t>
  </si>
  <si>
    <t>Breza</t>
  </si>
  <si>
    <t>iatowski, ministro de la guerra; Dombrowski, ministro de rentas; Al. Patoki, ministro de policía, y Mr. Breza, secretario de estado. A conseqiiencia de esta importante novedad se ha publicado la proclama siguiente: „Federico Augusto por la gracia de Dios, Rey de Saxonia, duque de Varsovia</t>
  </si>
  <si>
    <t>Brias Aguilera y Ulloa, Francisco</t>
  </si>
  <si>
    <t>Francisco Brias Aguilera y Ulloa</t>
  </si>
  <si>
    <t>Juan de Mata Marina Arnaiz y León, D. Víctor Duro.Saenz y Solano, D. Fernando Ruiz Lorenzo y^Ruiz, D. Francisco Brias Aguilera y Ulloa, D. Josef Betbecé Llano y Marroco, D. Fulgencio de Toro Suarez y Figueroa, D. Andrés Costa y, Mut, D- Manuel Guillelmi Valeñzuela y Andrada, D. Juan Perez Dávila Cabredo y XiVnene</t>
  </si>
  <si>
    <t>Brígida de Lalaing</t>
  </si>
  <si>
    <t>6 meses y 14 dias de edad, falleció en el convento de las Sras. Calatravas de Madrid la Excma. Sra. Doña Brígida de Lalaing, Calasanz, Rin y Abarca, marquesa viuda de Fontanar, señora de honor de la Reyna nuestra Señora, y dama de la real orden de damas nobles de la Reyna María Luisa. Las virtudes de e</t>
  </si>
  <si>
    <t>Bringas, María</t>
  </si>
  <si>
    <t>María Bringas</t>
  </si>
  <si>
    <t>les está prevenida. Entre los efectos de testamentaría de D. Francisco Peyro, que estuvo casado con Doña María Bringas, vecinos que fueron de la ciudad de Cuenca, se ha encontrado una exícutoria de nobleza, que se sacó en el año de 1743 para D. Manuel Jacinto de. Bringas: la persona á quien corres</t>
  </si>
  <si>
    <t>Brinkmann</t>
  </si>
  <si>
    <t>racamento del, regimiento de carabineros de Scania. El 1.° del corriente nombró el Rey al caballero Mr. Brinkmann su enviado extraordinario y ministro plenipotenciario cerca del Rey de Prlisia, y parece que será secretario Mr. de Osson, que lo ha sido de la legación sueca en Madrid. I-stads d</t>
  </si>
  <si>
    <t>Brisson</t>
  </si>
  <si>
    <t>uos como modernos, y confirmados por la experiencia: escritos en francés por el ciudadano Brisson: traducidos al castellano y aumentados con notas, que contienen todas las fórmulas del movimiento, fuerzas centrales &amp;c., por Don Julián Antonio Rodriguez. Sie</t>
  </si>
  <si>
    <t>Bros, Juan</t>
  </si>
  <si>
    <t>Juan Bros</t>
  </si>
  <si>
    <t>al magisterio de capitlade la catedral de Málaga, vacante por fallecimiento de D. Jayme Torrens, á D. Juan Bros: para un beneficio de laprioral del Puerto de Sta. María, en la diócesi de Sevilla, vacante’por muerte de D. Miguel Angel de Brea, á D. Pedro Lobo Mesía de Monroy, cura del hospit</t>
  </si>
  <si>
    <t>Brotona, Antonio</t>
  </si>
  <si>
    <t>Antonio Brotona</t>
  </si>
  <si>
    <t>79 .•. 26. Antonio Brotona ..... de Jayme.•.•.. Xáriva ......................... 1795 .. Muert. 8S .. ·lo. Cab.2.0 Antonio Ximenez ... de Pedro ...... Murcia ......................... 17</t>
  </si>
  <si>
    <t>Bruno de Heceta y Dudagoitia</t>
  </si>
  <si>
    <t>a 16 de agosto último falleció en la ciudad de M á ios 63 años y 6 meses de su edad, el Exente. Sr. D. Bruno de Heceta y Dudagoitia, natural de Bilbao, y teniente general de la real artmia. B npezó á servir de guardia marina el 27 de enero de 179*, empleando e hasta el de 1773 en el corso contra los berberisco</t>
  </si>
  <si>
    <t>Bruno March</t>
  </si>
  <si>
    <t>arroquial de S. Cucufate de la ciudad de Barcelona por fallecimiento de D. Pedro Juan Massana ; y á D. Bruno March para otro beneficio de Parentela , vacante en la metropolitana de Tarragona por_muerte de D. Agustín March. En América. El Rey se ha servido nombrar para el deanato de la catedral</t>
  </si>
  <si>
    <t>Budberg</t>
  </si>
  <si>
    <t>cta de la corte. Su disgusto llegó indirectamente á noticia del ministerio, lo que dio motivo á que Mr. Budberg, ministro de lo la</t>
  </si>
  <si>
    <t>da de la legión de Honor al gran Duque Constantino, al Príncipe Kourakin, al Príncipe Labanofif y á Mr. Budberg. El Emperador Alexandro ha condecorado con las insignias de la grande orden de S. Andrés al Príncipe Gerónimo Napoleón; Rey de Wesffalia, al gran Duque de Berg y de Cleves, al Prí</t>
  </si>
  <si>
    <t>Burgos Higares, Pedro</t>
  </si>
  <si>
    <t>Pedro Burgos Higares</t>
  </si>
  <si>
    <t>uicio que si se practicase con su audiencia y consentimiento. Los acreedores de Pedro Burgos Higares, vecino que fué del lugar deValiecas, deberán comparecer ante el Sr. D. Torquato Antonio Collado, Teniente Corregidor de esta villa, en el término de go días contados desde el 22 de Dicie</t>
  </si>
  <si>
    <t>Burgos, Ángel</t>
  </si>
  <si>
    <t>Ángel Burgos</t>
  </si>
  <si>
    <t>20 mrs.: el nombramiento lo hace la villa y veintena. Los pretendientes dirigirán sus memoriales á D. Angel Burgos, escribano,de ayuntamiento; en inteligencia de que se ha de hacer la elección el dia 10 de mayo de este año, y empezará á exercer.su empleo el electo en 16 de agosto del mismp. Se</t>
  </si>
  <si>
    <t>Burr, Coronel</t>
  </si>
  <si>
    <t>Coronel Burr</t>
  </si>
  <si>
    <t>A. Nueva-Yorck 2y de Noviembre de j8oS. Se ha recibido aquí la importante noticia de la prisión del Coronel Burr, que fue Vice- Presidente de los Estados-Unidos. Es bien notorio que su conducta causaba mucha inquietud al gobierno, pues se dirigía á procurarse fuerzas respetables para intenta</t>
  </si>
  <si>
    <t>injusto como irregular. Es probable pues que la qiiestion sea así considerada, y que el crimen del Coronel Burr, estando bien probado en la instrucción del proceso, será castigado con el rigor de la ley que se ha nondxado. La fragata francesa la Valerosa, que hacia parte de la esquadra del</t>
  </si>
  <si>
    <t>Burriel, Marcos</t>
  </si>
  <si>
    <t>Marcos Burriel</t>
  </si>
  <si>
    <t>corte, dedicadas á la Reyna nuestra señora (que Dios guarde). El nombre del P. Marcos Burriel, autor de estas memorias, y las doctas adiciones con que el editor las ba ilustrado, y de que da razón en el prólogo, bastan para hacer recomendable esta obra: un tomo en folio con el re</t>
  </si>
  <si>
    <t>Bustamante y Almarza, Joaquín</t>
  </si>
  <si>
    <t>Joaquín Bustamante y Almarza</t>
  </si>
  <si>
    <t>colegial de Co▼arrubias, en la diócesi de Búrgos,vacante por muerte de D. Juan Martin Martínez , á D. Joaquín Bustamante y Almarza: para una ración de La metropolitana de Santiago, vacante por fallecimiento de D. Jacobo Latas, á D. Vicente Castro y Vahamonde: para el arciprestazgo beneficio simple de Cerezo,</t>
  </si>
  <si>
    <t>Bustamante, Vicente</t>
  </si>
  <si>
    <t>Vicente Bustamante</t>
  </si>
  <si>
    <t>Félix Calvillo; á exénto de número al supernnmeratio D. Josef Lasala; á supernumerario al brigadier D. Vicente Bustamante; á brigadier al subrigadier Don Antonio Pascual; á subrigadier al cadete D. DiegoPerosa; á cadete de número al supernumerario D. Josef Moldes , y á supernumerario al'guardia D. Jo</t>
  </si>
  <si>
    <t>Butler, Jacinto</t>
  </si>
  <si>
    <t>Jacinto Butler</t>
  </si>
  <si>
    <t>omingo Allende y D. Joaquín Toledo t d alféreces de navio á los de fragata D. Juan Fernandez Vedra, D. Jacinto Butler y D. Federico Lacosse : d alférez de fragata di aventurero Di. Agustín Aldecca \ d comisario de guerra de. Marina al oficial. 1*° dei ministerio D*- Manuel de Esquerra* • N ..d OFICIA</t>
  </si>
  <si>
    <t>Buxhowden, General</t>
  </si>
  <si>
    <t>General Buxhowden</t>
  </si>
  <si>
    <t>General Benigsen, sino que tiene algo de incomprehensible. Parece que reconviene á su compañero el General Buxhowden, quien estaba, dice, en MakoW. ¿ Cómo podía ignorar que Buxhowden habia llegado hasta Golymin, donde había sido desbaratado ? Pretende haber conseguido una victoria; y á las 10 de</t>
  </si>
  <si>
    <t>Si el General Buxhowden ha hecho por su parte otra relación tan verídica como la otra del combate de Golymim, será evidente que el exército francés ha sido derrotado, y que á conseqiiencia de la derrota</t>
  </si>
  <si>
    <t>odo el combate y derrota del enemigo. He sentido que no llegase á tiempo el socorro tan deseado del General Buxhowden, sin embargo de que no distaba mas que 2 millas en la posición de Makow, y de qifé habia hecho alto á mitad de camino para poder contribuir á las ventajas de mi victoria. Siento i</t>
  </si>
  <si>
    <t>209 der la gracia de sü Soberano; lo mismo aseguran que le ha sucedido al General Buxhowden» y el mando del exército parece que ha recaído en el GeneralBenigsen. Algunos batallones de infantería ligera del Mariscal Ney se habían adelantado 20 leguas mas allá de .sus quar</t>
  </si>
  <si>
    <t>Cabalen y Arana, Francisco</t>
  </si>
  <si>
    <t>Francisco Cabalen y Arana</t>
  </si>
  <si>
    <t>y D. Antonio Conti; y la subtenencia de bandera del batallón de voluntarios de Campomayor al cadete D. Francisco Cabalen y Arana. $. M. se ha servido conferir el gobierno del castillo de S. Lorenzo del Puntal de la plaza de Cádiz á D. Josef Macías, capitán del regimiento de infantería de voluntarios de Cast</t>
  </si>
  <si>
    <t>Cabalen, Basilio</t>
  </si>
  <si>
    <t>Basilio Cabalen</t>
  </si>
  <si>
    <t>reces D. Pedro Barberi y D. Josef PeraR&gt;., y en el de Mantesa empleo de alférez, al portaestandarte D. Basilio Cabalen. También se ha dignado S. M. conceder ayudantía en el regimiento de dragones de Almansa al teniente D. Joaquín Cabronero , y en. el de. Pa vía empleo de alférez ál portaguión D. A</t>
  </si>
  <si>
    <t>Cabalen, Manuel</t>
  </si>
  <si>
    <t>Manuel Cabalen</t>
  </si>
  <si>
    <t>r regimiento á los subtenientes de las compañías de á pie D. Francisco Cárdenas, I). Diego Entrena, D. Manuel Cabalen y D. Jotef Arias de Saavedra. S. M. se ha servido conceder tenencias en los regimientos de dragones del Rey y Sagunto á los alféreces D. Agustín Mascaró y D. Juan Calvo* Por decreto d</t>
  </si>
  <si>
    <t>Caballería, Antonio</t>
  </si>
  <si>
    <t>Antonio Caballería</t>
  </si>
  <si>
    <t>uial de Sta. María de las Llosas, diócesi de Viqae, vacante por fallecí miento de D. Jayme Oliva, á D. Antonio Caballería. S. M. se ha servido nombrar para una canongía de la catedral de León, vacante por fallecimiento de D. Ignacio Pascual Barra, á D. Antonio Cortés y Arias, cura párroco de la villa</t>
  </si>
  <si>
    <t>Caballero, Gerónimo</t>
  </si>
  <si>
    <t>Gerónimo Caballero</t>
  </si>
  <si>
    <t>rutándola sin embargo del título de Marques Caballero que habéis heredado por muerte de vuestro tio D. Gerónimo Caballero, Teniente General'que fue de mis éxércitos , y del mi Consejó"dé'Estáido ; lo • UC XlinldUU ^ comunicareis tvJ wv/lUUlilv4L á iua vD d los utiiiao demas uiiuidkiua ministros ^, aá</t>
  </si>
  <si>
    <t>Caballero, Juan</t>
  </si>
  <si>
    <t>Juan Caballero</t>
  </si>
  <si>
    <t>Juan Ontanar. También se ha servido el rey conferir el regimiento de dragones de Almansa al coronel D. Juan Caballero, teniente coronel del de Pavía. En América. El rey se ha servido nombrar para la abadía de la colegiata de nuestra señora de Guadalupe de México, vacante por fallecimiento de D. F</t>
  </si>
  <si>
    <t>Caballero, Marqués</t>
  </si>
  <si>
    <t>Marqués Caballero</t>
  </si>
  <si>
    <t>azo» Madrid 4 de-agosta. En atención á- tos distinguidos méritos y servicios de los Excmo?, Señores Marqués Caballero, secretario^ de* Estado y del despacho de Gracia y Justicia, é interino del de Gurrraj D. Miguel Cayetano-Soler, secretario de Estado y del despacho de Hacienda ‘r Baylío Fr. D. F</t>
  </si>
  <si>
    <t>Caballero, Pedro Antonio</t>
  </si>
  <si>
    <t>Pedro Antonio Caballero</t>
  </si>
  <si>
    <t>comisionado por la escribanía de la comisión, que está á cargo de Miguel Tellez. Por providencia de D. Pedro Antonio Caballero, corregidor de las Quatro Villas de la Hoya de Málaga, subdelegado para la enagenacion de bienes secularizados, se están subastando para su enagenacion las fincas siguientes: una</t>
  </si>
  <si>
    <t>ará por la escribanía de la misma comisión * que desempeña Don Prudencio Serres. Por providencia de D. Pedro Antonio Caballero, corregidor por S. M. de lat quatro villa» de La Hoya de Málaga, subdelegado para la enagenacion de Jbienet eclesiásticos , se está subastando un cortijo de tierra pan sembrar, de</t>
  </si>
  <si>
    <t>Caballero, Sebastián</t>
  </si>
  <si>
    <t>Sebastián Caballero</t>
  </si>
  <si>
    <t>, canónigo de la dePalencia: para la mediaración déla catedral de Cartagena, vacante por. muerte-de D. Sebastian Caballero, á D. Domingo Miguel Diez: para la ración de Antequera, en la diócesi de Málaga, vacante por fallecimiento de D. Josef Uncibay, á Don Francisco Duran y Villatoro, capellán provisi</t>
  </si>
  <si>
    <t>Cabanes, Francisco Xavier</t>
  </si>
  <si>
    <t>Francisco Xavier Cabanes</t>
  </si>
  <si>
    <t>men de la chancillería de Valladolid; D. Antonio BJazquez,.abanderado de reales Guardias Españolas; D. Francisco Xavier Cabanes?, abanderado de reales Guardias Waionas; D. Eugenio de Loque, vice-secretario de la junta de exámenes de esta corte; D. Pedro Josef de</t>
  </si>
  <si>
    <t>Cabellos, Agustín</t>
  </si>
  <si>
    <t>Agustín Cabellos</t>
  </si>
  <si>
    <t>o nombrar para la canongía de la catedral de Valladolid, vacante por muerte de D. Francisco Puig, á D. Agustín Cabellos para la media-ración de la iglesia catedral de Córdoba, vacante por promoción de D. Josef Joaquín Mazuelo á ración entera de la propia iglesia, á D. Miguel Tosta: para el benefici</t>
  </si>
  <si>
    <t>Cabero, Cayetano</t>
  </si>
  <si>
    <t>Cayetano Cabero</t>
  </si>
  <si>
    <t>leros agregado D. Joaquín de Ribas, de fusileros al cadete D. Juan Nepomuceno Ribas, y de bandera á D. Cayetano Cabero y D. Joaquín de Torres, capitán y teniente de urbanos de la misma provincia. Siendo cada vez mas general el deseo de conocer el nuevo sistema de enseñanza de Enrique Pestalozzi, se ha</t>
  </si>
  <si>
    <t>Cabrera, Juan NepomuCeno</t>
  </si>
  <si>
    <t>Juan NepomuCeno Cabrera</t>
  </si>
  <si>
    <t>ara una'cancngía de la metropolitana de Sta. Fe, vacante por muerte de D. Juan Ignacio Gutiérrez, á D. Juan NepomuCeno Cabrera: para la ración que este dexa á D. Manuel Agu-.tin de Guinea, y para la media ración de este á D. Nicolás Cuervo: p2ra otra canongía'de Puerto-Rico, vacante también por fallecimie</t>
  </si>
  <si>
    <t>Cabronero, Joaquín</t>
  </si>
  <si>
    <t>Joaquín Cabronero</t>
  </si>
  <si>
    <t>También se ha dignado S. M. conceder ayudantía en el regimiento de dragones de Almansa al teniente D. Joaquín Cabronero , y en. el de. Pa vía empleo de alférez ál portaguión D. Agustín Hernández. Habiendo fallecido el ilustrísimo señor conde de Isla , decano que ha sido del consej-o Real, ha resuel</t>
  </si>
  <si>
    <t>Cáceres, Agustín</t>
  </si>
  <si>
    <t>Agustín Cáceres</t>
  </si>
  <si>
    <t>á ayudantes á los tenientes D. Mariano Ampuero y D. Leonardo Arbe ; á tenientes á los subtenientes D. Agustín Cáceres , D. Manuel Claudio Villauri, D. Mariano Gabriel Paredes, Don Juan Antonio Velarde y Neyra, D. Josef Dávila y D. Rafael Olazabal, y á subtenientes de bandera á los cadetes D. Fran</t>
  </si>
  <si>
    <t>Caff</t>
  </si>
  <si>
    <t>25 de diciembre de 1807</t>
  </si>
  <si>
    <t>hijas de M Caff saltaron por la azotea á una casa contigua, con inminente riesgo de perier la vida. Mr. Caff tuvo que sufrir mil injurias groseras de parte de a ]uel gefe, cuyos soldados se introduxeron en casi todos los quartos del segundo piso, cometiendo mil desórdenes: en la habitaci</t>
  </si>
  <si>
    <t>Cagigal, General</t>
  </si>
  <si>
    <t>General Cagigal</t>
  </si>
  <si>
    <t>idad y destreza, que cónvirtiéndó en utilidad lo que se calificaba inconveniente', llenóla idea del General Cagigal, quieh después le dio ios debidos elogios—_rCon esta.-reputación entró en la batalla del dia 22 de setiembre dei mismo año, en la que arrollados los enemigos, rindieron las armas</t>
  </si>
  <si>
    <t>Caja, Juan</t>
  </si>
  <si>
    <t>Juan Caja</t>
  </si>
  <si>
    <t>tenencia al subteniente D. Juan Gamero, y subtenencia de bandera al sargento primero de granaderos D. Juan Caja!; y en el de Hibernia tenencia al subteniente de granaderos D. Pedro Dalesme. Asimismo se ha servido S. M. conceder en el regimiento de infantería de Córdoba subtenencia de bander</t>
  </si>
  <si>
    <t>Calcraft</t>
  </si>
  <si>
    <t>otros muchos miembros han apoyado la propuesta, la qual ha sido aprobada unánimemente. Quando votó Mr. Calcraft, uno de los vocales, dixo : „ El parlamento actual será un parlamento de indagación y de pesquisa, y acaso no ha habido j*mas sesión alguna de discusiones tan acaloradas, como lo</t>
  </si>
  <si>
    <t>o en que la nación en general considera la cámara de los comunes como un cuerpo venal y corrompido. Mr. Calcraft observó que después de haberse hablado tanto por ambas partes, motejándose mutuamente unos á otros, no restaba mas que exáminar qual de los dos partidos era el peor. j,Por lo que</t>
  </si>
  <si>
    <t>o, y no descuidemos ninguna providencia vigorosa, pues de esto depende la salud de nuestro imperio, Mr. Calcraft convino en que se necesitan providencias enérgicas; pero sostuvo que las adoptadas por el antiguo ministerio eran suficientes para asegurar la defensa del pais. Hizo ver á la cáma</t>
  </si>
  <si>
    <t>Calderón de la Barca, Miguel</t>
  </si>
  <si>
    <t>Miguel Calderón de la Barca</t>
  </si>
  <si>
    <t>18 de septiembre de 1807</t>
  </si>
  <si>
    <t>o y demas necesario. Quien quisiere comprar estas fincas, juntas ó separadas, acuda en esta corte á D. Miguel Calderón de la Barca, calle de Hortaleza, esquina á la de S. Juan, núm. 9, y en Sta. Olalla á Luis Ambrosio de Orgar. Se halla vacante el partido de cirujano de la villa de Villoslada de Cameros, dota</t>
  </si>
  <si>
    <t>Calderón y Calvo, Francisco</t>
  </si>
  <si>
    <t>Francisco Calderón y Calvo</t>
  </si>
  <si>
    <t>a de Lumbrales, en la diócesis de Ciudad-Rodrigo, vacante por fallecimiento de D. Benito Noriega, á D. Francisco Calderón y Calvo, con la obligación de cumplir las cargas que le están impuestas. El Rey se ha servido conferir la Comandancia del tercer batallón del regimiento de infantería del Príncipe al Teni</t>
  </si>
  <si>
    <t>Calderón, Juan Manuel</t>
  </si>
  <si>
    <t>Juan Manuel Calderón</t>
  </si>
  <si>
    <t>la ayudantía que este dexa en la plana mayor de blancos, agregada á la misma división de pardos, á Don Juan Manuel Calderón, subteniente del batallón de Castilla ñxo de Campeche. El Sermo. Sr. Príncipe Generalísimo Almirante, atendiendo al loable designio que tienen la ciudad de Soria, y los cuerpos pr</t>
  </si>
  <si>
    <t>Calixto Acedo, Miguel</t>
  </si>
  <si>
    <t>Miguel Calixto Acedo</t>
  </si>
  <si>
    <t>lez de Mendoza. El Rey se ha servido conceder á los ministros togados del consejo supremo de Indias D. Miguel Calixto Acedo y D. Benito de la Mata Linares plazas de la cámara del propio tribuna!. Asimismo ha concedido S. M. á D. Josef Benito Cistue, juez privativo y'conservador del canal del reyno de Aragó</t>
  </si>
  <si>
    <t>Callimachi, Príncipe</t>
  </si>
  <si>
    <t>Príncipe Callimachi</t>
  </si>
  <si>
    <t>con los admirantes ingleses por ttiedib'dei comandante de los Dardanelos. Le sucede en Su empleo el Príncipe Callimachi» hermano del actual hospodar deMoldavia, que hace algunos años era dragomán del capitán Baxá. 1’ . ^ Acaba de lotificarse de oficio ¿ los ministros extrangeros residentes en esta</t>
  </si>
  <si>
    <t>Calonge, Nicolás</t>
  </si>
  <si>
    <t>Nicolás Calonge</t>
  </si>
  <si>
    <t>. Sres. Moreda y Ladalid. En Oviedo.............. D. Manuel Rubiano. En Patencia........ . Viuda de D. Nicolás Calonge é hijo mayor. En Palma............. D. Martin Mayol. En Pamplona....... Sres. viuda de Barbería é hijo. En Salamanca...... Sres. Urrero y Casaseca. En Santander....... Sres. Vial</t>
  </si>
  <si>
    <t>Calónge, Nicolás</t>
  </si>
  <si>
    <t>Nicolás Calónge</t>
  </si>
  <si>
    <t>. 749 En-Patencia......... Viuda de D. Nicolás Calónge é hijo mayor. En Palma......:...* D. Martin Mayol. En Pamplona...:.. Sres. vrada de Barbería é hij‘o. En Salamanca..... Sres. Urrero y Casaseca. En Santander..... . Sres. Vial é h</t>
  </si>
  <si>
    <t>... . Sres.. Moreda y Ladálid. En Oviedo........... . D. Manuel Rubiano.En Patencia........Viuda de D. Nicolás Calónge é hijo mayor.' En Palma........... IX Martin Mayol. En Pamplona........ Sres. viuda- de Barbería é hijo.En Salamanca*..... Sres. Urrero y Casase ca. En Santander...... Sres. Vial</t>
  </si>
  <si>
    <t>Calvillo, Félix</t>
  </si>
  <si>
    <t>Félix Calvillo</t>
  </si>
  <si>
    <t>iente al segundo, marques de Lazan; á segundo al alférez D. Gerónimo de Roxas ; á alférez al exento D. Félix Calvillo; á exénto de número al supernnmeratio D. Josef Lasala; á supernumerario al brigadier D. Vicente Bustamante; á brigadier al subrigadier Don Antonio Pascual; á subrigadier al cadete</t>
  </si>
  <si>
    <t>Calvo, Andrés</t>
  </si>
  <si>
    <t>Andrés Calvo</t>
  </si>
  <si>
    <t>hez, D. Juan Muñoz, D. Félix Salces, Gonzalo Vega, F...... Pantoja, Manuel Solano, Miguel Quintana, D. Andrés Calvo, Pedro Presa, Albertos Chueca, y al dueño de una cochera en la calle de la Bola, y á los herederos de los que kayan fallecido, todo* acreedores de Miguel Chacón, vecino de esta co</t>
  </si>
  <si>
    <t>Calvo, Luis</t>
  </si>
  <si>
    <t>Luis Calvo</t>
  </si>
  <si>
    <t>conferir el empleo de sargento mayor del regimiento de caballería de Calatrava ai teniente coronel D. Luis Calvo, capitán ÍJél de Alcántara ; y empteo de alférez en el de dragones de Lusitanía al‘ porta guión D. Gerónimo ¡Clavija. •' ' S. M; se ha dignado nombrar pára una plaza de oidor de l</t>
  </si>
  <si>
    <t>Camacho, Diego</t>
  </si>
  <si>
    <t>Diego Camacho</t>
  </si>
  <si>
    <t>. Josef Hurtado de Mendoza, y al cadete D. Fernando Montero; y el de portaguión al sargento primero Don Diego Camacho: en el de Lusitania empleo de alférez al portaguión Don Diego de Torres; y en el de Sagunto empleo de portaguión al cadete Don Rafael Xirnenez. El mercurio de España de junio de 1</t>
  </si>
  <si>
    <t>Cámara, Manuel</t>
  </si>
  <si>
    <t>Manuel Cámara</t>
  </si>
  <si>
    <t>traordinario eje instrucción religiosa los caballeros gefe de sala D. Manuel Fernandez, el de trozo D. Manuel Cámara y el seminarista D. Manuel Entreambasaguas, quienes hablaron respectivamente del principio y progresos de la religión desde el origen del inundo hasta la venida de Jesucristo, de la e</t>
  </si>
  <si>
    <t>Camarasa, Félix Francisco</t>
  </si>
  <si>
    <t>Félix Francisco Camarasa</t>
  </si>
  <si>
    <t>Blanco; y subtenencias de bandera al sargento primero de granaderos D. Benito Viiluela, y al cadete D. Félix Francisco Camarasa. También se ha servido el Rey conceder en el batallón de infantería ligera de voluntarios de Barbastro tenencia al subteniente D. Ignacio Ballesteros; y en el de voluntarios de Es</t>
  </si>
  <si>
    <t>Camba, Francisco</t>
  </si>
  <si>
    <t>Francisco Camba</t>
  </si>
  <si>
    <t>isciplinadas de infantería de Guayaquil al capitán D. Josef Carbo; y á tenientes á los subtenientes D. Francisco Camba y D. Josef Julián Campo; á capitán de granaderos en el de urbanas de infantería de Caxamarca al de fusileros Don Santiago Santisteban; á tenientes de fusileros á los subtenientes D. J</t>
  </si>
  <si>
    <t>Camilleri, Francisco</t>
  </si>
  <si>
    <t>Francisco Camilleri</t>
  </si>
  <si>
    <t>del i.°de Cataluña, entre ellos gravemente el subteniente D. Juan Piñeyro, y lastimado el teniente D. Francisco Camilleri; y 2 dragones muertos y, otro herido gravemente de Villa viciosa, con pérdida de 5 caballos.__ En el segundo batallón de voluntarios de Cataluña se ba servido S. M. promover á cap</t>
  </si>
  <si>
    <t>Camilo Hidalgo y Godoy</t>
  </si>
  <si>
    <t>Merecen entre todos particular mención, por su zelo y amor al bien público, los sugetos siguientes: D. Camilo Hidalgo y Godoy, vecino de la ciudad de Lacena, que es el primero que nos ha enviado un bote de mascabado de Peroximenez, perfectamente cristalizado, y á quien el señor conde de Has, presidente d</t>
  </si>
  <si>
    <t>Camilo Pividal</t>
  </si>
  <si>
    <t>ia ración de la mi&lt;ma iglesia, vacante por ascenso de D. Jcsef de Vergara, á D* Camilo Pividal, presbítero* En cumplimiento de lo mandado en real pragmática-sanción de 50 de agosto de 1800, desde i.° de abril prqxímo hasta 31 de mayo se presentarán los vales de 6oq y de 300 pesos, de i</t>
  </si>
  <si>
    <t>Campas, Joaquín</t>
  </si>
  <si>
    <t>Joaquín Campas</t>
  </si>
  <si>
    <t>or la e&amp;crfbanía&lt;de la misipa comisión, que desempeña D. Gabriel Josef Martínez. Por providencia de D. Joaquín Campas, subdelegado para la venta de bienes eclesiásticos en la diócesi de Zaragoza, se ha mandado sacar á pública subasta tina, heredad de 49 cahíces de tierra, con 424 olivos, riego pr</t>
  </si>
  <si>
    <t>Camps, Pedro</t>
  </si>
  <si>
    <t>Pedro Camps</t>
  </si>
  <si>
    <t>ntonio Almagro, abogado de los reales consejos, zr Otro que en la de 23'dc diciembre del mismo leyó D. Pedro Camps, presbítero, director de división del real seminario de nobles de esta corte. —Noticia del estado de las cárceles de Filadelfia, escrita en francés por LarochefoucauldLiancourt, t</t>
  </si>
  <si>
    <t>Campuzano Íregio Salamanca, Ramón</t>
  </si>
  <si>
    <t>Ramón Campuzano Íregio Salamanca</t>
  </si>
  <si>
    <t>do nombrar para la dignidad de tesorero de la metropolitana de Burgos, vacante por fallecimiento de D. Ramón Campuzano Íregio Salamanca, á D. Pedro Martínez San Martin, presbítero, director del code sordo-mudos de esta corte: para una canongía de la catedral de Cartagena, vacante por promoción de I). Eugenio Garcí</t>
  </si>
  <si>
    <t>Camuccini, Vicente</t>
  </si>
  <si>
    <t>Vicente Camuccini</t>
  </si>
  <si>
    <t>iente la diputación de la academia de bellas artes, compuesta de los caballeros Vicente Camuccini, pintor , Andrés Vici, arquitecto,y Vicente Pacetti, escultor, tuvo audiencia del S. P. para darle gracias de haber condecorado á los principales de dicho cuerpo cota • la distinguida cru</t>
  </si>
  <si>
    <t>Can</t>
  </si>
  <si>
    <t>54 GRAN BRETAÑA. ^ Londres i.° de julio. Mr. Rehapsen, ministro de Suecia, pasó hace algunos dias á Mr. Can» nmg^: secretario de Estado y del De&amp;pacho de rcg cíes extrangeros, ei oficio siguiente: ,, El infrascrito ministro plecipctercia ic¡ de S. M. el Rey de Suecia tiene el honor de i</t>
  </si>
  <si>
    <t>Cañadas, Antonio</t>
  </si>
  <si>
    <t>Antonio Cañadas</t>
  </si>
  <si>
    <t>106... 12. Cabo 1.° Antonio Cañadas.... de Juéln ......... Turne en Granada........ J 803" Muert. 17 1 ••• !!. Bautista Navarro ..... d~ Bautista.•.• Navelda ....................... 179S .</t>
  </si>
  <si>
    <t>Canani, Antonio</t>
  </si>
  <si>
    <t>Antonio Canani</t>
  </si>
  <si>
    <t>y Tenencia al Alférez É). Juan Rubio: en el de Alcántara compañía al Ayudante, graduado de Capitán, D. Antonio Canani; y en el de Santiago empleo de Alférez al Portaestandarte D. Salvador de Roxas. En América. En el regimiento de infantería de México se ha servido S. M. promover á Capitaneé de gr</t>
  </si>
  <si>
    <t>Canciller, Lord</t>
  </si>
  <si>
    <t>Lord Canciller</t>
  </si>
  <si>
    <t>. La Comisión que abrió el Parlamento ¿"nombre d i Rey se componía del Arzobispo de Cantorbery, del Lord Canciller, y de los Condes de Wir</t>
  </si>
  <si>
    <t>c. GRAN B R E T A Ñ A. ion dren 2 ode'diciembre. A consequéncia del discurso qye -píonunció ayer el Lord Canciller al abrir la sesión del Parlamento, Mr. Lambe-prqpuso en la Cámara de los Comunes que se diesen gracias á S. M. como se acostumbra en semejantes casos. „ Es preciso confesar, dixo,</t>
  </si>
  <si>
    <t>Cándido García Rosd</t>
  </si>
  <si>
    <t>tendientes dirigirán sus memoriales, én el,término .de jtó diaS !contadós desde esta publicación, á D. Cándido García Rosd, escribano .dcl^ayiintamíento de dicha villa ; y á los 8 dias siguientes se presentarán para hacer, la oposición y exercicíos que se les señalen. ' LIBROS. ' Instituciones polític</t>
  </si>
  <si>
    <t>Cándido la Sala</t>
  </si>
  <si>
    <t>D. Josef de Córdoba, el de Navio D. Juan Angel de Michiíeñay D. Joaquín Ruiz,él Teniente dé Fragata D. Cándido la Sala, y D. Josef Posadas, los Alféreces de Navio D. Benito Correa, D. Manuel de la Iglesia , D. Joaquín Toledo y D. Josef Miranda, y el de Fragata D. Federico la Cosle noche fué malísi</t>
  </si>
  <si>
    <t>Cándido Lasala</t>
  </si>
  <si>
    <t>te puesto : fue muerto en él él alférez de fragata D. Josef Rivas* y heridos los tenientes de navio D. Cándido Lasala, D. Antonio Leal de Ibarra, el de fragata D. Benito Correa, y el alférez de la misma clase D. Manuel Viüavicencio, y 5 oficiales mas de los otros cuerpos. El comandante Concha rec</t>
  </si>
  <si>
    <t>Cañedo, Francisco</t>
  </si>
  <si>
    <t>Francisco Cañedo</t>
  </si>
  <si>
    <t>rvera y D. Francisco Morejon ;a Subtenientes de granaderos á les de fusileros D. Antonio Duvreüill, D. Francisco Cañedo y D. Juan Bernardo Domínguez ; á Subtenientes de compañía á los de bandera D. Pedro Ker«ion, D. Diego Barredo, D. Henrique deGrand-pré y D. Alexo Lessacier; y á Subtenientes de bander</t>
  </si>
  <si>
    <t>Cañedo, Manuel</t>
  </si>
  <si>
    <t>Manuel Cañedo</t>
  </si>
  <si>
    <t>ubteniente de granaderos al de fusileros D. Josef Moreno, y á subtenientes de bandera i los cadetes D. Manuel Cañedo y D. Mariano Quevedo, y al sargento primero de granaderos D. Vicente Jaure. REALES COLEGIOS DE CIRUGIA. El curso de cirugía se abre en los reales colegios !e esta facultad de 'Madrid,</t>
  </si>
  <si>
    <t>Cannfiig</t>
  </si>
  <si>
    <t>conformidad prévia el trono, el Parlamento y el pueblo.” Después de algunas otras consideraciones , Mr. Cannfiig hablo de las últimas negociaciones; piensa que no fuérón dirigidas con bastante habilidad; que los Ministros han dado demasiadas treguas, y que todo el mundo poto, y £ cuya viuda;</t>
  </si>
  <si>
    <t>Canning</t>
  </si>
  <si>
    <t>de acción de gracias. v En la Cámara de los Comunes la propuso Mr. Lamb, apoyado por Mr. J. Smith. Mr. Canning: ,,La crisis, dixo, en que nos hallamos es terrible; mas no por eso debemos abandonarnos á la desesperación: todavía tenemos recursos suficientes para vencer todas las dificultade</t>
  </si>
  <si>
    <t>e darnos la menor esperanza en circunstancias tan críticas ?n &gt; ■ _ A conseqüeocia de este discurso Mr. Canning propuso varias reformas y enmiendas en la acción de gracias. Lord Howick respondió á Mr. Ganning de esta suerte : -r -„E1 orador que acaba de hablar ha hecho en su arenga cargos d</t>
  </si>
  <si>
    <t>Lord Hawkesbury habló larga¿ mente sobre las faltas de los Ministros, echándoles en cara, como hizo Mr. Canning en la támara de los Comunes, su irresolución y sus lentitud des: ,,Yo los acuso, dixo, de haber dexado quatró meses sin refuerzos á las valerosas tropas que se apoderaron de Buenos-</t>
  </si>
  <si>
    <t>i8o dar á nuestro comercio süs entradas ordinarias eñ el continente.” Mr. Canning habló en seguida y dixo, que en la circunstancia presente y en Grísis taq extraordinaria , no se podia levantar la voz en la Cámara délos Comunes, sin un sentimiento doloroso. „ M</t>
  </si>
  <si>
    <t>S. M. de no haber tenido parte algnna en las deliberaciones de la Prusia, no puedo ménos, continúa Mr. Canning, de reprehender esta política. Decir que los asuntos de la Prusia nos eran agenos, es trastornar todos los principios de la sana razón. Conozco que tenemos justos motivos de desco</t>
  </si>
  <si>
    <t>quizá canciller del eckhjiáer, en cuyo caso seria realmente primer ministrer- Hay quien asegura que Mr. Canning tendrá el despacho de los negocios extrangeros. Entre los demas candidatos á las plazas del</t>
  </si>
  <si>
    <t>ue de Portland ha sido nombrado primer lord de la tesorería; Mr. Perceval 'canciller del cchiquier; Mr. Canning secretario de estado y del despacho de negocios extrangeros; el lord Hawkesbury ministro de lo interior; el lord Castlereagh ministro de la guerra y de las colonias; el conde de C</t>
  </si>
  <si>
    <t>dres de abril. El barón de Rehausen, ministro de Suecia en esta corte, entrego el 3 del corriente á Mr. Canning, ministro de Etado, una nota en que le participaba que S. M. sueca ha mandado declarar en estado de bloqueo el embocadero del rio Peene, con el tín de estorbar las salidas y entra</t>
  </si>
  <si>
    <t>n de suma importancia. Al mismo tiempo corré la voz de que én una conferencia que tuvieron el dia 5 Mr. Canning, ministro de. negocios extrangeros, y el embaxador de Rtrsia, hubo una*altercación bastante viva con ócasion de tantas-expediciones corno salen de nuestros puertos para regiones r</t>
  </si>
  <si>
    <t>841 tíos públicos de resultas de los sucesos del continente. El canciller Aúechiauier y Mr. Canning, ministro de negocios extrangeros .contestaron que el viernes inmediato si daría parte á la cámara del estado de nuestras relaciones políticas con las potencias de Europa, y que s</t>
  </si>
  <si>
    <t>eguró que la insurrección hacia progresos que debían dar cuidado. En la sesión de hoy ha presentado Mr. Canning copia del tratado de alianza ajustado entre la Inglaterra y la Prusia eí 28 de enero último. Después se leyó el mensage siguiente : „S. M. cree deber informar á la cámara de los c</t>
  </si>
  <si>
    <t>e en esta parte te han desquitado tan bien como sus enemigos, contra quienes han tenido que pelear. Mr. Canning, ministro de negocios extrangeros, contestó diciendo que el gobierno jamas dará motivo para creer que no está dispuesto á tratar de la paz, si se presenta una coyuntura favorable.</t>
  </si>
  <si>
    <t>ia una conferencia qué duró dos horas en la secretaría de negocios extrangeros con nuestro ministro Mr. Canning. De Falmouth han salido varios convoyes mercantes para Portugal, el mediterráneo y las Indias occidentales. Constan entre todos de 250 embarcaciones. En Chatam se prendió fuego el</t>
  </si>
  <si>
    <t>queses de línea. Estas noticias necesitan confirmación. En virtud de un real decreto comunicado por Mr. Canning á los ministros de las potencias neutrales y amigas, residentes en esta corte, se levanta por ahora el bloqueo de los rios Ems, Elba y Weser. REINO DE ITALIA. Venecia 29 de setiem</t>
  </si>
  <si>
    <t>3 de noviembre de 1807</t>
  </si>
  <si>
    <t>1140 hizo ayer su ultima visita á Mr. Canning, y después tuvo audiencia de despedida del Rey. Su partida no tiene relación alguna con las contestaciones entre los dos países. Mr. Jorge Canning, secretario de Estado y del desp</t>
  </si>
  <si>
    <t>viene de Jamayca baxo la escolta del Fisgará. Lord Withworth ha tenido con el secretario de Estado Mr. Canning una conferencia que ha dado ocasión á muchas conjeturas. Algunas personas creen que lord Withworth marchará en breve á Portugal.---- Para este mismo destino va á salir una esquadr</t>
  </si>
  <si>
    <t>do á Plimouth con proposiciones de paz, y que esta habia sido la ocasión de la conferencia que tuvo Mr. Canning con el lord Withworth, último embaxador de Inglaterra en Francia, de que han hablado los diarios. Díxose también que á conseqüencia de ello habia salido para París el lord Malmesb</t>
  </si>
  <si>
    <t>o ciego é inconsiderado, por la ignorancia mas crasa, y por una falta total de previsión y cordura. Mr. Canning tuvo la osadía de amenazar al encargado de negocios de Dinamarca en Londres, que las tropas de la gran Bretaña no saldrían de Copenhague, puesto que él Príncipe Real declaraba la</t>
  </si>
  <si>
    <t>Canning y Mr</t>
  </si>
  <si>
    <t>a el qual y contra otros vocales, que apoyaron su pensamiento, hablaron el canciller del echiquier, Mr. Canning y Mr. Wilt&gt;erforce; y finalmente, que habiéndose procedido á la votación á las 4 de la mañana, fue desechada la propuesta por una mayoría de 322 votos contra 136. Sesión del s&gt; de juli</t>
  </si>
  <si>
    <t>Canning, Jorge</t>
  </si>
  <si>
    <t>Jorge Canning</t>
  </si>
  <si>
    <t>despedida del Rey. Su partida no tiene relación alguna con las contestaciones entre los dos países. Mr. Jorge Canning, secretario de Estado y del despacho de negocios extrangeros, ha notificado con fecha de 2 de octubre á los ministros de Jas potencias neutrales y amigas, residentes en esta corte</t>
  </si>
  <si>
    <t>Cano de la Puerta, Francisco</t>
  </si>
  <si>
    <t>Francisco Cano de la Puerta</t>
  </si>
  <si>
    <t>ura en aquella diócesi; y para otra media ración de la misma catedral, vacante por fallecimiento de D. Francisco Cano de la Puerta, a D. Juan Josef Corral Faria, cura en el mismo obispado. También ha nombrado S. M. para la plaza de teniente letrado asesor</t>
  </si>
  <si>
    <t>Cano Manuel, Antonio</t>
  </si>
  <si>
    <t>Antonio Cano Manuel</t>
  </si>
  <si>
    <t>r que fue de D. Martin de Arandia, vecino de esta corte,se han formado autos por el juzgado del Sr. D. Antonio Cano Manuel,alcalde de casa y corte, y escribanía de D. Julián Alonso y Estrada, á los quales han salido varias personas solicitando se las tenga por herederas de dicha Doña María; y habiéndo</t>
  </si>
  <si>
    <t>guas á él, en 1650 rs. Quien quisiere hacer postura á qualquiera de dichas fincas acuda ante el Sr, D. Antonio Cano Manuel, alcalde de casa y corte, por la escribanía de provincia de D. Juan Garrido, en el término de 30 dias contados desde el 16 déi corriente, que se admitirán las que se hicieren no s</t>
  </si>
  <si>
    <t>co para que quien quisiere mejorarla , y hacerla i los seles y efectos referidos, acuda ante el Sr. D. Antonio Cano Manuel, alcalde de casa y corté, per la escribanía de provincia de D. Juan Garrido, donde se admitirán las que se hicieren, con tal que no sea por manos muertas, ni en menor cantidad que</t>
  </si>
  <si>
    <t>Caparros, Juan Julián</t>
  </si>
  <si>
    <t>Juan Julián Caparros</t>
  </si>
  <si>
    <t>ma del santo concilio de Trente, recopilada con método y claridad por el Dr. D. Juan Julián Caparros, presbítero, á fin de que los qiie se dedican al estudio de tan importante ciencia puedan con facilidad tener una instrucción suficiente de los ministerios, oficios y materias eclesiásticas;</t>
  </si>
  <si>
    <t>Carabaño, Miguel</t>
  </si>
  <si>
    <t>Miguel Carabaño</t>
  </si>
  <si>
    <t>enencia al subteniente de granaderos D. Roque S. Martin: efi el de la Reyna tenencia al subteniente D. Miguel Carabaño; y en ekde-Africa subtenencia de bandera al cadete D. Luis León de Erize." ' • ' •- En el regimiento de dragones de Almansa se ha servido S. M. conceder tenencia al alférez D. Jos</t>
  </si>
  <si>
    <t>Carazo, Lorenzo</t>
  </si>
  <si>
    <t>Lorenzo Carazo</t>
  </si>
  <si>
    <t>tán en el de Cartago al teniente de granaderos D. Salvador Oreamuno, á esta resulta al de fusileros D. Lorenzo Carazo; á tenientes de fusileros á los subtenientes D. Manuel S-aenz y D. Matías Sandoval, y á subtenientes de fusileros á D. Joaquín Prieto y D. Francisco Echeverría; á teniente en el b</t>
  </si>
  <si>
    <t>Carbó, Vicente</t>
  </si>
  <si>
    <t>Vicente Carbó</t>
  </si>
  <si>
    <t>Supl., p. 4</t>
  </si>
  <si>
    <t>ert. 4 2 3 ••. 1 3. Vicente Carbó......... de Juan ......... Torean de Mored.......... 1799.. Muert. 16 5'" l. Vicente Llopis... :.... de Vicente .... Al~ir~...... ........ ............ 180</t>
  </si>
  <si>
    <t>Cárdenas Villavi'-í, Francisco</t>
  </si>
  <si>
    <t>Francisco Cárdenas Villavi'-í</t>
  </si>
  <si>
    <t>z de Pinedo, D. Agustín Alcalá Galiano Arias y Vargas, Don Juan Giiiral Muñoz de Salazar y Gamiz, y D. Francisco Cárdenas Villavi'-í céricío y Dávila. ~ ‘ ' cosen;::; Con Real-permiso, y á beneficio de los pobres enfermos de los Reales</t>
  </si>
  <si>
    <t>Cárdenas, Francisco</t>
  </si>
  <si>
    <t>Francisco Cárdenas</t>
  </si>
  <si>
    <t>el Rey subtenientes de á caballo del tercer regimiento á los subtenientes de las compañías de á pie D. Francisco Cárdenas, I). Diego Entrena, D. Manuel Cabalen y D. Jotef Arias de Saavedra. S. M. se ha servido conceder tenencias en los regimientos de dragones del Rey y Sagunto á los alféreces D. Agus</t>
  </si>
  <si>
    <t>Caries Rodríguez de Meya</t>
  </si>
  <si>
    <t>el juzgado de provincia de! Sr. D. Antonio Alcalá Galiano, alcalde de casa y corte, y escribanía de D. Caries Rodríguez de Meya, se hallan pendientes autos á pedimento de Doña María Antonia deCiria y D. Alberto Arias del Yerro, vecinos de la villa de Molina dcAragca, sobreiapcrtcaoneia dedrCcrcntcs accio</t>
  </si>
  <si>
    <t>Caries, Archiduque</t>
  </si>
  <si>
    <t>Archiduque Caries</t>
  </si>
  <si>
    <t>ia y la Moldavia, y que sé halle con su independencia absoluta reconocida y asegurada." De órdendei Archiduque Caries sé han suprimido en Austria algunos Regimientos de Huíanos. ' Se valúa en unos 2$ millones de pésetelas contribuciones impuestas «il</t>
  </si>
  <si>
    <t>Cáríos Green</t>
  </si>
  <si>
    <t>edición, pasa al Mediterráneo á reemplazar al mayor general Vauclxpe, que ha sido muerto en Egipto. Sir Cáríos Green, mayor general, ha tenido el honor de se» presentado al Rey con motivo de habérsele conferido la comandancia militar de Malta. El Duque de Berry va á salir para el exército del Re</t>
  </si>
  <si>
    <t>Cárlcs Le Maur</t>
  </si>
  <si>
    <t>rente á S. Luis, á 3 rs. Puede ir en carta, v Elementos del comercio, manufacturas é industria, por D. Cárlcs Le Maur: 2 tomos. = Discursos sobre la astronomía ó introducción á la astronomía, por el mismo. = Vida del papa Clemente xi, escrita en francés, y traducida al castellano: 2 tomos. = Disc</t>
  </si>
  <si>
    <t>Carli, Capitán</t>
  </si>
  <si>
    <t>Capitán Carli</t>
  </si>
  <si>
    <t>ciales y marineros ingleses que estaban á su bordo. El corsario Sema-pauta, mandado por el valeroso Capitán Carli, el mismo que socorrió estos meses pasados el fuerte de Tremió, atravesando por medio de los enemigos que lo cercaban, naufragó la ncche del 2 en la playa de Térmoli; pero se salv</t>
  </si>
  <si>
    <t>Carlos María</t>
  </si>
  <si>
    <t>o de sus deberes y justo obsequio á los dias de nuestro augusto Soberano , y del Sermo. Sr. Infante D. Carlos María, hermano mayor de dicho real cuerpo, celebró el 4 del corriente un lucido manejo de caballos, con lances decin— ■ tas y cabezas , y concluyó con parejas á los retratos del Rey Ntr</t>
  </si>
  <si>
    <t>a por el cabo de Hornos. En 27 de marzo de 1791 fue nombrado teniente de ayo del Sermo. Sr. Infante D. Carlos María; mariscal de campo en 36 de abril de 1792; teniente general en 9 de enero, de 1794; y en 29 de junio del mismo año teniente de ayo del Príncipe nuestro Señor. En estos empleos, en</t>
  </si>
  <si>
    <t>Carlos, Archiduque</t>
  </si>
  <si>
    <t>Archiduque Carlos</t>
  </si>
  <si>
    <t>a paz entre los Turcos y los rebeldes. Los Ministros se juntan freqiientemente, y el Emperador y el Archiduque Carlos asisten de ordinario á sus conferencias. El General Barón de Vincent ha salido para el quartel general de S, M. el Emperador de los Franceses Rey de Italia. La noticia difundida e</t>
  </si>
  <si>
    <t>Las cartas de Praga de 24 de enero dicen que el Gobernador de Bohemia había recibido úna orden del Archiduque Carlos, en virtud de la qual se habían puesto en camino machos batallones y esquadrones para las fronteras de Silesia, por hallarse allí el teatro de la guerra. Estas tropas formarán un</t>
  </si>
  <si>
    <t>Wirteniberg. Las últimas cartas recibidas de Viena hablan de un plan presentado al Emperador por el Archiduque Carlos, como ministro de la Guerra, para disminuir el exército austríaco. Se asegura que la rebaxa será de 8o á ioo2&gt; hombres, y que se executará sucesivamente en el espacio de 3 años. L</t>
  </si>
  <si>
    <t>Carlos, Príncipe</t>
  </si>
  <si>
    <t>Príncipe Carlos</t>
  </si>
  <si>
    <t>marchará pronto á Varsovia. La familia Real de Pruua ^ia ido á Memel; y se asegura que ha muerto el Príncipe Carlos, hijo tercero del Rey, y que la Princesa Alexandrina está muy de peligro. Se confirma que S. M. Prusiana ha mandado juzgar militarmente á los Comandan ces de Custrin y de Stettin.</t>
  </si>
  <si>
    <t>Carlota Luisa Manuela de Godoy</t>
  </si>
  <si>
    <t>abra en los principios de la religión, de la moral y de la sociedad: obra dedicada á la Excma. Sra. Doña Carlota Luisa Manuela de Godoy yBorbon, Duquesa de la Alcudia , d» la Real Orden de Damas dobles de la Reyna María Luisa &amp;c. &amp;c.&amp;c., hija del Serenísimo Señor Príncipe de la Paz, Generalísimo Almirante. Este cate</t>
  </si>
  <si>
    <t>Carlota, Princesa</t>
  </si>
  <si>
    <t>Princesa Carlota</t>
  </si>
  <si>
    <t>mandó que eita siguiese de respeto, y se embarcó en la de la ciudad, con los Reyes de Baviera y la Princesa Carlota su hija, la Princesa de Lúea, el Pííncipe virey, el gran duque deBerg</t>
  </si>
  <si>
    <t>Carmelet, Francisco</t>
  </si>
  <si>
    <t>Francisco Carmelet</t>
  </si>
  <si>
    <t>ó Ventara y D. Josef Martínez Suarez *. en el de Irlanda subtenencia de bandera al sargento primero D. Francisco Carmelet: en el de Zaragoza tenencia al subteniente D. Eugenio Godos; y en el de las Ordenes Militares tenencia al subteniente de granaderos D. Pedro Royo. El rey se ha servido conferir la</t>
  </si>
  <si>
    <t>Carmen Cerveto</t>
  </si>
  <si>
    <t>D. Pedro de S. Martin : Ayudawtia en el de la Reyna al Teniente de granaderos, graduado de Capitán, D. Carmen Cerveto; y Tenencia en el de Ultonia al Subteniente de granaderos D. Pedro de Belmar: asimismo se ha dignado conferir Compañía en el Regimiento de infantería de Ñapóles al Teniente de gra</t>
  </si>
  <si>
    <t>Carmona, Manuel Salvador</t>
  </si>
  <si>
    <t>Manuel Salvador Carmona</t>
  </si>
  <si>
    <t>sages principales de los hechos de Sta. Catalina de Sena, del orden de Sto. Domingo, grabados 4 por D. Manuel Salvador Carmona „ grabador de cámara de S. M., y el 5.0 por D. Blas Ametller. Se hallarán á 2 rs. cada uno en la librería de Escribano, calle de las Carretas, y en la portería de Sto. Tomas. MUSI</t>
  </si>
  <si>
    <t>Caro, Ignacio</t>
  </si>
  <si>
    <t>Ignacio Caro</t>
  </si>
  <si>
    <t>Príncipe: la que este dexa al teniente coronel D. Antonio Figueroa, del de Atarés; y esta resulta á D. Ignacio Caro, capitán agregado al regimiento de infantería de la Havana. S. M. se ha dignado conceder ayudantía en el batallón fixo de Goatemaía al teniente D. Pedro Salvador; y tenencia de fu</t>
  </si>
  <si>
    <t>Carolina, Princesa</t>
  </si>
  <si>
    <t>Princesa Carolina</t>
  </si>
  <si>
    <t>ga, de 6‘á: Seiren , Princesa Luisa Augusta, y Dithmarschen , de 64: Príncipe Cristiano Federico, y Princesa Carolina» de 60. Diez y seis fragatas armadas ccn muchas carenadas y obuses, ademas de los cañones que se expresan. Iris, de 42 cañones: Freja y Havfruen, de 40: Perla y Vénus, de 38: Náya</t>
  </si>
  <si>
    <t>Carrancio, Manuel Ángel</t>
  </si>
  <si>
    <t>Manuel Ángel Carrancio</t>
  </si>
  <si>
    <t>rán el dia 5 de julio próximo. Quien quisiere hacer postura acuda al oficio de Juan Francisco Sola. Don Manuel Angel Carrancio , comisionado regio para la enagenacion de bienes eclesiásticos comprehendidos en el vicariato de esta corte y del de Alcalá, ha señalado el’25 del corriente para el remate de las</t>
  </si>
  <si>
    <t>lonso Pacheco; previniéndose estar señalado el 14 del presente para su remate. • Por providencia de D. Manuel Angel Carrancio, comisionado real para la venta de bienes eclesiásticos comprehendidos en esta vicaría y la general de Alcalá de Henares se ha mandado sacar á pública subasta, por término de 30 d</t>
  </si>
  <si>
    <t>Carranclo, Manuel Ángel</t>
  </si>
  <si>
    <t>Manuel Ángel Carranclo</t>
  </si>
  <si>
    <t>y mineralogía, nombrado últimamente por S. M. para el real seminario cantábrico. Por providencia de D. Manuel Angel Carranclo, comisionado real',se ha mandado sacar á publica subasta, por término de 30 dias contados desde 13 del cor</t>
  </si>
  <si>
    <t>io. Quien quisiere hacer postura, lo executará por la escribanía que desempeña D. Prudencio Serres. D. Manuel Angel Carranclo, comisionado real para la enagenacion de bienes eclesiásticos comprehendidos en el vicariato de esta corte y eb'de Alcalá., ha mandado sacar á pública subasta, por término de 30 d</t>
  </si>
  <si>
    <t>loma correspondiente , con la denominación de Vizconde de CampoGrande. También ha concedido S. M. á D. Manuel Angel Carranclo, asesor de rentas de la intendencia de esta villa, y juez comisionado real p3ra la enagenacion de fincas de obras pias, y para la secularización y venta de bienes eclesiásticos en</t>
  </si>
  <si>
    <t>Carrasco, Juan Vicente</t>
  </si>
  <si>
    <t>Juan Vicente Carrasco</t>
  </si>
  <si>
    <t>r Tomas Reyd, traducido del ingles al francés por Dumas y Petit-Dasson, y de este al castellano por D. Juan Vicente Carrasco, médico de los reales hospitales General y de la Pasión de esta corte: un tomo en 8.°, con una tabla etiológica de las diferentes especies de tisis &amp;c. La íreqtúncia con que de al</t>
  </si>
  <si>
    <t>Carreño y Ramírez, Martín</t>
  </si>
  <si>
    <t>Martín Carreño y Ramírez</t>
  </si>
  <si>
    <t>al subteniente de granaderos D. Pedro Morrond®; y subtenencia de bandera en el de Saboya al cadete D. Martin Carreño y Ramírez. El rey se ha servido conceder los honores de su secretario á D. Rafael Martínez de Ariza. \ , i El rey se ha servido nombrar para el empleo de guarda-almacén extraordinario de ar</t>
  </si>
  <si>
    <t>Carreño, Manuel</t>
  </si>
  <si>
    <t>Manuel Carreño</t>
  </si>
  <si>
    <t>servido conceder en el regimiento de infantería de la Reyna -Tenencia al Subteniente de granaderos D. Manuel Carreño: en el de Africa Ayudantía al Teniente D. Pablo Argandona; y en el de Irlanda Subtenencia de bandera al Cadete D. Luis González. S. M. se ha servido promover á Teniente del real c</t>
  </si>
  <si>
    <t>Carrera, Manuel</t>
  </si>
  <si>
    <t>Manuel Carrera</t>
  </si>
  <si>
    <t>que causan las vinculaciones y mayorazgos en el precio mercantil de las propiedades territoriales: D. Manuel Carrera de lo mucho que aceleran la circulación en el comercio interno la justicia y la libertad: el socio D. Mariano Calvete sobre los efectos que ocasiona un empréstito en la industria: el</t>
  </si>
  <si>
    <t>Carreras, Joaquín</t>
  </si>
  <si>
    <t>Joaquín Carreras</t>
  </si>
  <si>
    <t>~ Joaquin Carreras..••• de.J oaquin ..•• 8&lt;&gt;t. de F errer ............ oo, 1797" Licenc. 110... 6. JosefCros ............... de Vi.centf: .•.• Valencia ... ,. ........</t>
  </si>
  <si>
    <t>Carrillo de Albornoz, Miguel</t>
  </si>
  <si>
    <t>Miguel Carrillo de Albornoz</t>
  </si>
  <si>
    <t>Asimismo ha nombíado S. M. para el corregimiento de Quesal te nango»; en el reyrto de Guatemala „ á D. Miguel Carrillo de Albornoz» abanderado del regimiento de reales guiar dia s españolas. í En cumplimiento de Lo mandado en real pragmática-sanción de 30 de ágo&amp;to de 1800, desde. iJ* de abril próximo hasta 3</t>
  </si>
  <si>
    <t>Carrillo y Barnuevo, Miguel</t>
  </si>
  <si>
    <t>Miguel Carrillo y Barnuevo</t>
  </si>
  <si>
    <t>y provincia, otro; el tesorero D. Fermín Remon dos; D¿ Bernardo Esquivel, barón de Palíamelo, otro; D. Miguel Carrillo y Barnuevo otro; DiMatíál Márkiv diputado de abastos, otro; D. Blas Luis, procurador persQnero, otro; D. Vicente García , escribano del ilústre ayuntamiento,~aos ;* y un socio, que no quiso</t>
  </si>
  <si>
    <t>Carrillo y Juan Manuel Zorsona, Nicolás</t>
  </si>
  <si>
    <t>Nicolás Carrillo y Juan Manuel Zorsona</t>
  </si>
  <si>
    <t>de Mechoacan, en el Reyno de Nueva-España, se ha servido S. M. promover á Tenientes á los Alféreces D. Nicolás Carrillo y Juan Manuel Zorsona; á Alféreces á ios Portaguiones D. Ignacio Olarte y D. Juan Manuel Cabello; y á Portaguiones ¿ los vecinos de Ja demarcación del misino Cuerpo D. Vicente Fernandez Rondero y D. Fr</t>
  </si>
  <si>
    <t>Carrillo, Tomás</t>
  </si>
  <si>
    <t>Tomás Carrillo</t>
  </si>
  <si>
    <t>los de fusileros D. Pedro de lafora y D. Ignacio de Mora; á Capitanes á les Tenientes de granaderos D. Tomas Carrillo y D. Pablo de Tuero; á Tenientes de granaderos á ios de fusileros D. Manuel Gcmez y D. Juan Serrano; á Tenientes á los Sufc¿tenientes de granaderos D. Josef de Castro Palomino y D. Pi</t>
  </si>
  <si>
    <t>Carrillo, Vicente María</t>
  </si>
  <si>
    <t>Vicente María Carrillo</t>
  </si>
  <si>
    <t>ara ponerse en estado de defensa. \ ' ESPAÑA. ' . Madrid 1 $ de mayo. S. M. se ha servido nombrar á D. Vicente María Carrillo para la dignidad de arcediano de i a metropolitana de Valencia, y á D. Pedro Vicente Yañez para la canongía que aquel obtiene, y resultará vacante en la misma iglesia: á D. Marcos</t>
  </si>
  <si>
    <t>Carta, Carlos</t>
  </si>
  <si>
    <t>Carlos Carta</t>
  </si>
  <si>
    <t>usileros á Jos segundos D. Miguel Manzano y D. JuanPerdomo: á segundos tenientes á los subtenientes D. Carlos Carta, éste de granaderos, D. Rafael del Campo y D. Manuel de León y Romero; y á subtenientes á D, Aureliano Carabeo, este de granaderos, D. Atanasio Domínguez, y al sargento primero D.</t>
  </si>
  <si>
    <t>o Sánchez: compañía, primera y segunda tenencia y subtenencia de fu ileros á. Don josef Delahauty , D. Carlos Carta , í&gt;. Aureliano Carabeo y D. Francisco Matos, primero y segundo teniente, y subtenientes del mismo batdlon. En el.regimiento de caballcria .de Farnesio se ha servido S. Ai. conced</t>
  </si>
  <si>
    <t>Carta, Diego</t>
  </si>
  <si>
    <t>Diego Carta</t>
  </si>
  <si>
    <t>co , individuo de la comisión de literatos del mismo instituto: el capitán del regimiento de Toledo D. Diego Carta: D. Lucas María Romero, maestro de primeras letras del real sitio de S. Ildefonso: D. Tomas de NenclaresPalacios, oficial de la dirección general de reales provisiones: D. Félix T</t>
  </si>
  <si>
    <t>Cas, Antonio</t>
  </si>
  <si>
    <t>Antonio Cas</t>
  </si>
  <si>
    <t>o de capitán, D. Salvador Maseres; ayudantía al teniente D. Felipe Andrade; tenencia al subteniente D. Antonio Cas2iioves, y subtenencia de bandera al cadete D. Antonio Sequeyros: en los de Sevilla y América subtenencias de bandera á los cadetes D. Ramón Arias y Quiroga, D. Josef Campero y D.</t>
  </si>
  <si>
    <t>Casa Calvo</t>
  </si>
  <si>
    <t>cal de campo D. Domingo Cervino ; y á mariscal de campo al brigadier marques de Casa Calvo, coronel del regimiento de infantería de la Havana. En el batallón de infantería ligera de voluntarios de Navarra se ha servido S. M. promover á capitán primero al segundo D. Alexandro de</t>
  </si>
  <si>
    <t>Casado, Miguel</t>
  </si>
  <si>
    <t>Miguel Casado</t>
  </si>
  <si>
    <t>ibanía de D. Casimiro Antonio Gómez, se halla radicada la dimisión de bienes de Miguel Casado, vecino del lugar de Vállecas; y á instancia de diferentes acreedores á ella se ha señalado el día ro del presentera las 8$ de su mañana, para la junta que ha de celebrarse en la posada d</t>
  </si>
  <si>
    <t>Casajus, Vicente</t>
  </si>
  <si>
    <t>Vicente Casajus</t>
  </si>
  <si>
    <t>del despacho de Gracia y Justicia. También ha concedido S. M. los honores de contador de exército á D. Vicente Casajus, secretario de la intendencia del exército de Andalucía, en consideración á sus buenos servicios. En atención á los distinguidos y particulares servicios contraídos por D. Miguel</t>
  </si>
  <si>
    <t>Casalbon, Francisco</t>
  </si>
  <si>
    <t>Francisco Casalbon</t>
  </si>
  <si>
    <t>into Ruiz y D. Juan Josef Arríete; y subtenencias de bandera en el de Cantabria al sargento primero D. Francisco Casalbon , y en el expresado de Ñapóles al cadete D. Ramón Lacaile. En el regimiento de caballería de la Reyna se ha servida S. M. conceder empleos de portaestandartes á los cadetes D. Man</t>
  </si>
  <si>
    <t>Casamayor, Pedro</t>
  </si>
  <si>
    <t>Pedro Casamayor</t>
  </si>
  <si>
    <t>D. Manuel María de Junco se cita y llama á todos los que tengan derecho á los bienes dimitidos por D. Pedro Casamayor y compañía, de esta corte, para que en el dia 28 del próximo mes de junio, á las 9 de la mañana, concurran por sí, ó por medio de sus representantes con poder bastante, á la junta g</t>
  </si>
  <si>
    <t>Casanova, Tomás</t>
  </si>
  <si>
    <t>Tomás Casanova</t>
  </si>
  <si>
    <t>ma. Tos postores acudirán á dicha audiencia, que por ausencia del señor Junco despacha ahora el Sr. D. Tomas Casanova, por la escribanía de D. Juan Antonio de Zamácola. Quien quisiere comprar una casa sita eh esta corte, plazuela antigua de la Paja, al baxar de las calles de S. Miguel y Caballero</t>
  </si>
  <si>
    <t>Casas, Antonio</t>
  </si>
  <si>
    <t>Antonio Casas</t>
  </si>
  <si>
    <t>Josef de la Torre; y á subtenientes de bandera al cadete D. Joaquín Barreyro,y al sargento primero D. Antonio Casas. Asimismo se ha servido S. M. conferir el empleo de coronel del regimiento de dragones de México al teniente coronel, agregado al de dragones de España en aquel rey no, D. Miguel</t>
  </si>
  <si>
    <t>Casas, Benito Antonio</t>
  </si>
  <si>
    <t>Benito Antonio Casas</t>
  </si>
  <si>
    <t>l patriotismo é ilustración de la sociedad. Madrid 7 de agosto. En consideración á los servicios de D. Benito Antonio Casas, capellán de la real armada en el departamento de Cádiz, y conforme al reglamento de 30 de enero de 1804, ha venido S. M. en nombrarle para la ración que se halla vacante en la ca</t>
  </si>
  <si>
    <t>Casaus, Manuel</t>
  </si>
  <si>
    <t>Manuel Casaus</t>
  </si>
  <si>
    <t>capitán del regimiento de infantería de España, y el teniente del de Murcia destacado en la Tunara D. Manuel Casaus, á quienes aquellos manifestaron su gratitud; pero con mayor expresión á Orell, que se esmeró en socorrerlos, como me ha escrito el comandante del propio buque y el de la esquadra</t>
  </si>
  <si>
    <t>Casimiro Antonio Go</t>
  </si>
  <si>
    <t>Buy trago , que componen ambos 1600 arro¿ bas de todas clases, acuda á la escribanía del número de D. Casimiro Antonio Go* mjíz: en inteligencia de que se ha de rematar el día g de noviembre próximo en la posada del Sr. D. Ignacio Martínez dc YiUela, del consejo supremo dé la Guerra, carrera de S. Ge</t>
  </si>
  <si>
    <t>Casimiro Antonio Gómez</t>
  </si>
  <si>
    <t>a lugar. Ante el Sr. D.Torquato Antonio Collado, teniente corregidor de esta villa, y escribanía de D. Casimiro Antonio Gómez, se halla radicada la dimisión de bienes de Miguel Casado, vecino del lugar de Vállecas; y á instancia de diferentes acreedores á ella se ha señalado el día ro del presentera las</t>
  </si>
  <si>
    <t>favor suyo. Por auto del Sr. D. León de Sagasta, teniente corregidor de esta villa, y escribanía de D. Casimiro Antonio Gómez, se manda que los que tengan derecho á un censo perpetuo de 4 rs. y una gallina, ¡mDucsto en una casa sita en la calle de Jacometrezo, núm. g, manz. 355, que á principios del sigl</t>
  </si>
  <si>
    <t>r. D. Torquato Antonio Collado, teniente corregidor de esta, villa, por la escribanía del número de D. Casimiro Antonio Gómez, en el término de 30 dias contados desde el 15 del presente; en inteligencia de que no se ad~ mi te postura no siendo en dinero métrico,. AVISOS. Por decreto del real' consejo de</t>
  </si>
  <si>
    <t>aballo para el mayoral, con 54 carretas, tasado en 130,300 rs-, acuda i la escribanía del número de D. Casimiro Antonio Gómez; en inteligencia de que sé ha de rematar el dia 16 de noviembre próximo ¿n la posada del Sr. D. Ignacio Martínez de Viliela, del consejo supremo de la Guerra, carrera de S. Geróni</t>
  </si>
  <si>
    <t>tasada, con el derecho de posesión de invierno, en 701,959 rs., acuda á la escribanía del número de D. Casimiro Antonio Gómez; en inteligencia de que ha de rematarse el dia 2 de diciembre próximo en la posada del Sr. D. Ignacio Martínez de Villela , del consejo supremo de la Guerra, carrera de S. Gerónim</t>
  </si>
  <si>
    <t>teniente corregidor de esta villa. Quien quisiere hacer mejora, acuda á la escribanía del número de D. Casimiro Antonio Gómez. Para la mejora del quarto de una casa sita en esta corte, calle de Sta. Isabel, núm. 12, manz. 5, tasada, con inclusión de ciertas obras y caudal de agua que la corresponde, en 9</t>
  </si>
  <si>
    <t>Casimiro Antonio González</t>
  </si>
  <si>
    <t>Ócafíá» tasado todo en 7*,185 rs. Quien quisiere hacer postura, acuda á la escribanía del número de D. Casimiro Antonio González. EN LA IMPRENTA REAL.</t>
  </si>
  <si>
    <t>Casimiro Osorio</t>
  </si>
  <si>
    <t>á los bienes de dicho concurso, y principalmente á D. Josef Muñoz de Pando, D. Felipe_ Carrasquedo, D. Casimiro Osorio, D. Josef de Torres, D. Mauricio del Valle, D. Severino de Salazar, Doña Josefa Zurariain,D.Francisco del Valle, D. Francisco Fernandez de Villa, D. Estéban Beulf, D. Cayetano Fra</t>
  </si>
  <si>
    <t>Casou, Juan</t>
  </si>
  <si>
    <t>Juan Casou</t>
  </si>
  <si>
    <t>en la real aduana, y en las provincias á los comisionados siguientes: &lt;•' ' , En Alicante.......... D. Juan Casou y compañía. En Avila......... ,.... D. Josef Piqueras Gómez. En Badajoz,........ D. Francisco Fernandez de la Peña y S. Miguel. En Barcelona....... D. Ramón de Llordella é hijo. En</t>
  </si>
  <si>
    <t>vincias i los comisionado» siguientes: En Albacete.........D. Mariano Melgosa. En Alicante..........D. Juan Casou y compañía. En. Avila............. D. Josef Piqueras- Gómez. En Badajoz......... D. Francisco Fernandez' de la Peña y S. Miguela En. Barcelona....... D. Ramón de Llordella é hijo.En</t>
  </si>
  <si>
    <t>Cásset, Miguel</t>
  </si>
  <si>
    <t>Miguel Cásset</t>
  </si>
  <si>
    <t>o primero de Sta. Catalina, vacante en la catedral de Barcelona por muerte de D. Josef Inglesa; y á D. Miguel Cásset para otro beneficio, cum</t>
  </si>
  <si>
    <t>Cassmi</t>
  </si>
  <si>
    <t>uart¿ Se infiere el pié roniaño de'130,57 líñ'éás deLdé qótfíhacen 15-1,99 Eneas.del nuestro. - ~ 1 Mr. Cassmi midió'varias distancias de1 üna's éiüáadés i otras; y cómpa(O De ponderib. et mensi cap. 6 in fine. C'3) /Memoir. de * í’ Acá de m réR. deSciences deParís, depurslóóójnsqu’a 1Ó99,</t>
  </si>
  <si>
    <t>Casta, Diego Vicente</t>
  </si>
  <si>
    <t>Diego Vicente Casta</t>
  </si>
  <si>
    <t>spaña se ha servidou^ooiover á Capitán al Teniente^ D. Agustín de Islas ; á Teniente al Subteniente D. Diego Vicente Casta-¿' ños; y á Subtenientes al soldado distinguido D. Francisco Mancebo, y aí‘ Sargento del Regimiento de infantería de la Corona de México D. Francis-&lt; co Castro. En el Batallón fixó</t>
  </si>
  <si>
    <t>Castan, Joaquín</t>
  </si>
  <si>
    <t>Joaquín Castan</t>
  </si>
  <si>
    <t>ero del lugar de Hervas, én la diócesi de Plasencia, vacante por muerte de D. Pedro de AguiIar i áb:D. Joaquín Castan, capellán de altar de su real capilla. El rey se ha servido conferir el regimiento de infantería de la Reyna ál teniente coronel del mismo cuerpo, graduado de coronel, D. Peregrin</t>
  </si>
  <si>
    <t>Castañeda, Ventura</t>
  </si>
  <si>
    <t>Ventura Castañeda</t>
  </si>
  <si>
    <t>á capitán al teniente de granaderos D. Antonio Lascurain; á teniente de granaderos al de fusileros D. Ventura Castañeda; á teniente al subteniente de granaderos D. Juan de Lexarza; á subteniente de granaderos al de fusileros D. Ruperto Mier, y á subtenientes al sargento primero distinguido D. Franc</t>
  </si>
  <si>
    <t>Castaños, Francisco Xavier</t>
  </si>
  <si>
    <t>Francisco Xavier Castaños</t>
  </si>
  <si>
    <t>EXTRAORDINARIA DE MADRID DEL, VIERNES í6 DE ENERO DE l 8o". ■Declaración qué Órden del \Excmo. Sr. D. Francisco Xavier Castaños, General en Gefe del Exército y Campo de Gibraltar , ha tomado el Brigadier D. Yieéníe~María de Maturana, Comandante general de su Artillería, d uno de-los Españoles \ hechos pris</t>
  </si>
  <si>
    <t>Castíereagh, Lord</t>
  </si>
  <si>
    <t>Lord Castíereagh</t>
  </si>
  <si>
    <t>a 9® libras esterlinas menos. Por consiguiente espero que se concederán las sumas que se piden." El Lord Castíereagh contestó, y dixo: „Los Ministros han hecho muchas innovaciones que ocultan, y al mismo tiempo piden dinero par* continuarlas. Para el completo de las tropas regladas faltan 37® ho</t>
  </si>
  <si>
    <t>Castillon, Tomás</t>
  </si>
  <si>
    <t>Tomás Castillon</t>
  </si>
  <si>
    <t>6co hombres; D. Manuel de Arroyo, D. Josef Gabriel de la Hoyuela, D. Pedro Nuñez, D. Lúeas Vivas, y D. Tomas Castillon su segundó, á la cabeza de verdaderos patricios, me han hecho los servicios mas distinguidos, como caballería ligera, rondando las noches enteras al rededor de mis campamentos, y</t>
  </si>
  <si>
    <t>Castlereagh, Lord</t>
  </si>
  <si>
    <t>Lord Castlereagh</t>
  </si>
  <si>
    <t>Buenos-Ayres, y expulsión total nuestra de la América meridional. Doivning-Street 12 dé setiembre. Lord Castlereagh tiene el honoT de participar al lord corregidor, que esta mañana se han recibido pliegos del teniente general Whítelock, con fecha de 10 de julio , de los quales resulta que en el</t>
  </si>
  <si>
    <t>Castro</t>
  </si>
  <si>
    <t>ro y Barbeyto, canónigo de la colegial de la Coruiía: un tomo. =:Sermones morales y panegíricos del Dr. Castro,dirigidos á los predicadores jóvenes, y útiles á todo género de personas: 3 tomos en 8.° Se hallarán en la librería de Campo, calle de Alcalá. Instrucción para rezar fructuosament</t>
  </si>
  <si>
    <t>Castro y Vahamonde, Vicente</t>
  </si>
  <si>
    <t>Vicente Castro y Vahamonde</t>
  </si>
  <si>
    <t>a: para una ración de La metropolitana de Santiago, vacante por fallecimiento de D. Jacobo Latas, á D. Vicente Castro y Vahamonde: para el arciprestazgo beneficio simple de Cerezo, en la diócesi de Búrgos, vacante por muerte de D. Félix López Dávalos, á D. Josef Cayuela del Castillo : para otro residencial d</t>
  </si>
  <si>
    <t>Catá, Pedro</t>
  </si>
  <si>
    <t>Pedro Catá</t>
  </si>
  <si>
    <t>lama y emplaza á qualquiera que se considere con derecho á los bienes del concurso de acreedores de D. Pedro Catá, de aquel vecindario y comercio, para que comparezca á formalizarlo, con los documentos comprobantes , en el preciso término de 6 meses contados desde el dia 2 2 de octubre próxim</t>
  </si>
  <si>
    <t>Catalina de Medina</t>
  </si>
  <si>
    <t>Paz:otro de 400 ducados á favor de las memorias y capellanías que ea S. Martin de esta corte fundó Doña Catalina de Medina: otro de 200 ducados á favor de Ja cofradía de ánimas de la parroquial de S. Miguel de esta corte; y el otro de 190 ducados, correspondiente aj Lie. Barrionuevo: para que en el té</t>
  </si>
  <si>
    <t>Catalina de Wiírtemberg, Princesa</t>
  </si>
  <si>
    <t>Princesa Catalina de Wiírtemberg</t>
  </si>
  <si>
    <t>si la Inglaterra tuviese sobre las armas 800 ú 900® hombres como los tiene la Francia! S. A. I. la Princesa Catalina de Wiírtemberg llegó ayer al palacio de las Tullerías. El Príncipe su esposo había salido á recibirla» y el Emperador le ha dado muestras de mucho cariño. En seguida la Princesa comió con la fam</t>
  </si>
  <si>
    <t>Catalina Germán</t>
  </si>
  <si>
    <t>... D. Gerónimo Gómez.1' , ' : En Malaga.......... D. Juan Xinieno. ;i -: » h = En Makon........... Doña Catalina Germán f Hugaldé. En Murcia..... ...... Sres. Moreda y Ladalkh En Oviedo.......... D. Manuel Rubianó.</t>
  </si>
  <si>
    <t>Catalina Germán y Hugalde</t>
  </si>
  <si>
    <t>................ D. Pedro Gil de Tejada. En Málaga........... D. Juan Xímeno. En Mahon............. Doña Catalina Germán y Hugalde. En Murcia............ Sres. Moreda y Ladalid. En Oviedo.............. D. Manuel Rubiano. En Patencia........ . Viuda de D. Nicolás Calonge é hijo mayor. En Palma............. D.</t>
  </si>
  <si>
    <t>n León................ D&gt;- Gerónimo Gómez. En Málaga........... D.. Juan? Ximeno. J£m Mahon........ Doña Catalina Germán y Hugalde.En Murcia........... . Sres.. Moreda y Ladálid. En Oviedo........... . D. Manuel Rubiano.En Patencia........Viuda de D. Nicolás Calónge é hijo mayor.' En Palma........... IX Marti</t>
  </si>
  <si>
    <t>Catalina Lillo</t>
  </si>
  <si>
    <t>uela López, que se casó en la parroquia de 5. Martin en 12 de junio de 1796 con Catalina Lillo, natural del lugar de Liceras, obispado de Sigüenza, hija de Francisco y Tomasa Muñoz. Quien tuviese noticia de él, se servirá comunicarla á Mateo Solans, portero del Excmo. Sr. nuncio de</t>
  </si>
  <si>
    <t>Catalina Mexía, María</t>
  </si>
  <si>
    <t>María Catalina Mexía</t>
  </si>
  <si>
    <t>e, Dubernad y compañía de Sevilla, cuyos números y pertenencia son como sigue: núm. 2056 á favor de Doña María Catalina Mexía , 2057 di de D. Juan Francisco Perron, 2058 aí de D. Josef de la Herran, *059 al de Doña Mam Josefa Vázquez y Adorna, 2060 al de D. Francisco MartinezSisniega, 2061 al.de D. Crist</t>
  </si>
  <si>
    <t>Catalina Saavedra</t>
  </si>
  <si>
    <t>entes entre D. Francisco de Paula Marañon, vecino de la villa de Alcázar de S. Juan, como marido de Doña Catalina Saavedra, y D. Josef Calderón y Jaén, que lo es de la de Dos-barrios, sobre la nulidad ó validación del papel rotulado mi testamento, en borrador y no concluido, que escribió y firmó en Pa</t>
  </si>
  <si>
    <t>Catalina, Princesa</t>
  </si>
  <si>
    <t>Princesa Catalina</t>
  </si>
  <si>
    <t>Stuttgard 28 de julio. Se trabaja sin cesar en esta capital en los preparativos para la boda de la Princesa Catalina con el Príncipe Gerónimo , Rey de Westfalia, que se realizará el 5 de agosto por poderes. El mayordomq mayor Duroc representará al Príncipe en esta ceremonia. El % tendrá su audie</t>
  </si>
  <si>
    <t>mariscal Bessieres, en la audiencia solemne que le dió ayer el Rey, pidió formalmente á S. A. R. la Princesa Catalina por esposa del Pnncipe imperial Gerónimo Napoleón de Francia. Habiendo sido favorables las respuestas, tanto de S. M. como de la Princesa, el embaxador presentó á esta última el r</t>
  </si>
  <si>
    <t>Cataneo, Carlos</t>
  </si>
  <si>
    <t>Carlos Cataneo</t>
  </si>
  <si>
    <t>esa de Roca-fuerte. A consulta de 1-a cámara, se ha servido S. M. conceder al brigadier de exército D. Carlos Cataneo ia gracia, que ha solicitado, de poder usar del jítulo de marques de Cataneo de la Voha, en calidad de título extrangero, que fue concedido á su familia por el Sr. Rey D. Felipe i</t>
  </si>
  <si>
    <t>Catania Vallarina de Arenzano, María</t>
  </si>
  <si>
    <t>María Catania Vallarina de Arenzano</t>
  </si>
  <si>
    <t>a Francisca del Castillo, Manuela Martínez, Doña Rosa de Udías y del Castro, D. Juan María Noriega, Doña María Catania Vallarina de Arenzano, D. ManueL de Ortega, D. Agustín Ximenez y D. Antonio Ccvallcs; y mediante á que sin embargo de las muchas diligencias practicadas y edictos fixados para que comparezcan á abrir y</t>
  </si>
  <si>
    <t>Cathcart</t>
  </si>
  <si>
    <t>speraban encontrar tanta resistencia, pues aptmas tienen artillería de batir. El quartel general de Mr. Cathcart permanece siempre en Eredericsberg; y ¿ vista de las obras con que le ha fortificado, no parece sino que teme ser él mismo sitiado. . Entre tanto los ingleses después de haber lan</t>
  </si>
  <si>
    <t>caudillo Czerni-Jorge</t>
  </si>
  <si>
    <t>la del Danubio, ocupar después la Vaiaquia, y desde allí auxiliar y sostener al caudillo Czerni-Jorge. Ignoramos hasta ahora cómo habrá tomado la Puerta esta invasión; pero entretanto las fortalezas se entregan sin hacer la menor resistencia. Los Rusos han hech</t>
  </si>
  <si>
    <t>Caumels, Alexandro</t>
  </si>
  <si>
    <t>Alexandro Caumels</t>
  </si>
  <si>
    <t>H)* FranciscoPriego; y Subtenencias de bandeja ai Sargento primero D.; Francisco Alava, y ai Cadete D. Alexandro Caumels. 1 ' . En atención i ios méritos y servicios: del Intendente de provincia, y Ministro jubilado del canal de Campos D. Juan Moro Mozo, ha venido.&lt;el Re,ít en concederle los; honore</t>
  </si>
  <si>
    <t>Cavanes, Francisco Xavier</t>
  </si>
  <si>
    <t>Francisco Xavier Cavanes</t>
  </si>
  <si>
    <t>. Tomas de Llanes: D. Josef María Vallejo, catedrático de matemáticas del real seminario de nobles: D. Francisco Xavier Cavanes, abanderado de reales guardias Walonas: D. Guillermo Xaramilio, individuo del real colegio académico de primeras letras, y catedrático de gramática castellana : D. Simón Argote, s</t>
  </si>
  <si>
    <t>Caya, Fernando</t>
  </si>
  <si>
    <t>Fernando Caya</t>
  </si>
  <si>
    <t>ermosell *• para una ración de la catedral de Osma, vacante por fallecimiento de D. Pedro Nevado, á D. Fernando Caya; y para el préstamo beneficio simple de la parroquia de la villa de Torre-Perogil, en la diócesi de Jaén, vacante por muerte de D. Tomas Muñoz Montenegro, á D. Antonio Ruiz y Garc</t>
  </si>
  <si>
    <t>Cayetano-Soler, Miguel</t>
  </si>
  <si>
    <t>Miguel Cayetano-Soler</t>
  </si>
  <si>
    <t>és Caballero, secretario^ de* Estado y del despacho de Gracia y Justicia, é interino del de Gurrraj D. Miguel Cayetano-Soler, secretario de Estado y del despacho de Hacienda ‘r Baylío Fr. D. Francisco Gil, capiraa generaL de la real armada, y secretario de Estado y del despacho de Marina^</t>
  </si>
  <si>
    <t>Ccntrcras, Francisco Xavier</t>
  </si>
  <si>
    <t>Francisco Xavier Ccntrcras</t>
  </si>
  <si>
    <t>ombrar para la canongía vacante en la catedral de Toledo, por fallecimiento dea D. Santiago Rico, á D. Francisco Xavier Ccntrcras, oidor de la real audiencia de Extremadura, y gobernador de Iá sala del crimen de aquel tribunal: para la canongía que se halla vacante en la. catedral de Patencia, por premoción</t>
  </si>
  <si>
    <t>Ce, Pedro</t>
  </si>
  <si>
    <t>Pedro Ce</t>
  </si>
  <si>
    <t>sobre la cebada ramosa, su introducción en nuestra agricultura por el ilustrado zelo dei Excmo. Sr. D. Pedro Ce val los, experimentos hechos al intento, producto extraordinario de tan preciosa cereal, sus varios usos y utilidades &amp;c.: ¿inconvenientes de la poda de los árboles frutales, y nu</t>
  </si>
  <si>
    <t>Cea, Francisco Antonio</t>
  </si>
  <si>
    <t>Francisco Antonio Cea</t>
  </si>
  <si>
    <t>y gobierno. = Dios guarde á vmd. muchos años. Palacio 9 de agosto de 1807. = Pedro Cevalios.=: Sr. D. Francisco Antonio Cea.” Los exercicios que se tuvieron para obtener estos premios consistieron en disertar sobre un punto sacado por suerte, y en explicar una lección sobre una familia natural, siguien</t>
  </si>
  <si>
    <t>Cebader, Martín</t>
  </si>
  <si>
    <t>Martín Cebader</t>
  </si>
  <si>
    <t>nzález Valcarce, alférez del cuerpo de caballería de blandengues de, la frontera de Buenos-Ayres; á D. Martin Cebader, subteniente del real cuerpo de artillería: grados de subtenientes de ejército á D. Josef Bianson, cadete del regimiento de infantería de Buenos-Ayres; á D. Francisco Somalo, Idem</t>
  </si>
  <si>
    <t>Cebrian, Antonio</t>
  </si>
  <si>
    <t>Antonio Cebrian</t>
  </si>
  <si>
    <t>por repartimiento: su vecindario goo vecinos escasos. Los pretendientes dirigirán su» memoriales á D. Antonio Cebrian y D. Francisco Barbadillo, regidor y procurador del común, hasta el 15 del corriente. LIBROS. Importancia de la historia de la marina española: precisión de que se confié á un marino,</t>
  </si>
  <si>
    <t>Cedrón, Lorenzo</t>
  </si>
  <si>
    <t>Lorenzo Cedrón</t>
  </si>
  <si>
    <t>, D.Josef Carrero, D. Ramón Eiroa, D. Ramón Suazo, D. Antonio Valentín Díaz, D. Josef Hordavidalnz, D. Lorenzo Cedrón, D. JuanPefundely D. Manuel Elizaicin. En geometría especulativa D. Josef Genaro Ghapley D;* Ildefonso Pozb, Don Joaquín Verástegui, D. Josef Natfarfete , Dr Joaquín Fernandez Fra</t>
  </si>
  <si>
    <t>Cedrón, Manuel</t>
  </si>
  <si>
    <t>Manuel Cedrón</t>
  </si>
  <si>
    <t>sco Xavier Rivadulla y D. Gregorio Calderón y Durango: en geometría elemental D. Josef Ordavidcluz, D. Manuel Cedrón, D. Antonio Valentín Diez, D. Josef Blan*? co Atidrade, D, Juan Perfume, D. Ramón Zuazo y el referido Soto y Parga: eri geometría práctica D. Josef Carrero, D. Manuel Royo, D. Ram</t>
  </si>
  <si>
    <t>Celedonio Aguilera, Juan</t>
  </si>
  <si>
    <t>Juan Celedonio Aguilera</t>
  </si>
  <si>
    <t>á la calle de Alcalá, frente á las Calatravas, núm. 3, quarto 3.0, y en la citada villa de Orgaz á D. Juan Celedonio Aguilera. Los ramos de vino y aceyte del real sitio de S. Lorenzo se sacan á pública subasta por un año contado desde r.° de enero de 1808 hasta fin de diciembre de él. Quien quisiere hace</t>
  </si>
  <si>
    <t>Celestino Mendoza</t>
  </si>
  <si>
    <t>Junquera el primero , D. Joaquín Dolzel segundo: en igual escuela de primeras letras, del cargo de D. Celestino Mendoza, el primer premio en la clase de lectura D. Vicente Llanes, el segundo D. Cárlos Cruz Mayor: en la dé escritura el primero D. Pedro Mantilla, el segundo D. Tomas Merino. En la cla</t>
  </si>
  <si>
    <t>Cendeja, Pedro</t>
  </si>
  <si>
    <t>Pedro Cendeja</t>
  </si>
  <si>
    <t>livencia, D. Bernabé de Otalora , D. Juan de Mazarredo, D. Juaa Ortiz de Zarate, D. Juan de Abrana, D. Pedro Cendeja, D. Pablo Unda, el cadete de reales guardias Walonas D. Félix Gilman, D. Pablo Ferrando, cadete del regimiento de infantería de Soria, D. Manuel Entreambasaguas, D. Pedro Sánchez</t>
  </si>
  <si>
    <t>Centelles, Joaquín</t>
  </si>
  <si>
    <t>Joaquín Centelles</t>
  </si>
  <si>
    <t>ero; consiliarios eclesiásticos el Dr. D. Pascual Fita, inquisidor honorario de Córdoba, el Dr. Fr. D. Joaquín Centelles, de la orden de San Juan, y D. Andrés Cosme: consiliarios seculares el Sr. Marques de Valera , ei Sr. D. Gaspar Morera, y el S*\ D. Mariano de Exea: secretario i.° D. Luis Valcedo</t>
  </si>
  <si>
    <t>Centurión, Ana</t>
  </si>
  <si>
    <t>Ana Centurión</t>
  </si>
  <si>
    <t>g, manz. 355, que á principios del siglo xvir pertenecía á los herederos de Vicencio Esquadrafigo y Doña Ana Centurión, acudan á dicha es</t>
  </si>
  <si>
    <t>Cerezo y Menoyo, Francisco</t>
  </si>
  <si>
    <t>Francisco Cerezo y Menoyo</t>
  </si>
  <si>
    <t>a dignidad de arcediano y canongía anexa de la catedral de Cartagena , vacante por fallecimiento de D. Francisco Cerezo y Menoyo, á D. Eugenio García: para una capellanía de</t>
  </si>
  <si>
    <t>Cerezo, Ignacio</t>
  </si>
  <si>
    <t>Ignacio Cerezo</t>
  </si>
  <si>
    <t>Castel Ruiz, jurisdicción de la villa de Agreda, diócesi de Tarazona, vacante por fallecimiento de D. Ignacio Cerezo, á D. Manuel Ortega, presbítero, con calidad de residencia personal: para el empleo de confesor del real y primer monasterio de la Visitación de Madrid, vacante por promoción de D</t>
  </si>
  <si>
    <t>Cerpa y Manrique, Francisco</t>
  </si>
  <si>
    <t>Francisco Cerpa y Manrique</t>
  </si>
  <si>
    <t>merced, dos raciones y dos medias-raciones, se ha servido S. M. nombrar para la primera canongía á D. Francisco Cerpa y Manrique: para la ración que este dexa á D. Juan Sánchez Leñero; y para la media ración que este obtiene á D. Ignacio Mariano de Aguilar, cura de aquella diócesi: para la segunda á D. Jose</t>
  </si>
  <si>
    <t>Cerrato-Corral, Miguel</t>
  </si>
  <si>
    <t>Miguel Cerrato-Corral</t>
  </si>
  <si>
    <t>arroquia de la villa de Belvis de1 Monroy en la diócesis de Plasencia, vacante por fallecimiento de D. Miguel Cerrato-Corral, á D. Mariano Perez : para los beneficios simples de la parroquia de S. Salvador de la villa de Talavera en el arzobispado de Toledo, y de la de Sta. Leocadia de esta ciudad, vaca</t>
  </si>
  <si>
    <t>Cervera, Matías</t>
  </si>
  <si>
    <t>Matías Cervera</t>
  </si>
  <si>
    <t>enres al Subteniente de fulleros D. Vicente Borges, y los de granaderos D. Francisco Perez..y Muro, D. Matías Cervera y D. Francisco Morejon ;a Subtenientes de granaderos á les de fusileros D. Antonio Duvreüill, D. Francisco Cañedo y D. Juan Bernardo Domínguez ; á Subtenientes de compañía á los de ba</t>
  </si>
  <si>
    <t>Cervino, Domingo</t>
  </si>
  <si>
    <t>Domingo Cervino</t>
  </si>
  <si>
    <t>SS. MM. yAA. El Rey se ha servido promover á teniente general de sus exércitos al mariscal de campo D. Domingo Cervino ; y á mariscal de campo al brigadier marques de Casa Calvo, coronel del regimiento de infantería de la Havana. En el batallón de infantería ligera de voluntarios de Navarra se ha</t>
  </si>
  <si>
    <t>Cesac Lacuée, General</t>
  </si>
  <si>
    <t>General Cesac Lacuée</t>
  </si>
  <si>
    <t>s, y á lo demas que haya lugar. Guia del Oficial particular para campana: escrita en francés por el General Cesac Lacuée, y traducida al español por D. Josef Bouílle, Ayudante del Regimiento de Cantabria. Esta obra, la mas extensa de qúantas se han publicado hasta ahora en español, concernientes.al</t>
  </si>
  <si>
    <t>César Balviani</t>
  </si>
  <si>
    <t>esta'situación, quanto por la qualidad del terreno. Mi ala derecha se hallaba al mando del coronel D. César Balviani, con banderola roxa: la izquierda por el de la misma clase ^D. Bernardo de Velasco, gobernador del Paraguay y Misiones, con banderola blanca;y el centro por el coronel £&gt;.Xavier £</t>
  </si>
  <si>
    <t>dar lo mocho que me ha ayudado para poner esta ciudad en gestado de defensa que ha hecho el coronel D. César Balviani, que desdé la época de la reconquista ha «ervido á mis órdenes, como dixe á V. A. S. en otra ocasión, desempeñando con conocimiento los encargos de mayor general y quartel-maestre</t>
  </si>
  <si>
    <t>Cevalios, Manuel María</t>
  </si>
  <si>
    <t>Manuel María Cevalios</t>
  </si>
  <si>
    <t>a: D. Clemente Ocaña de la aplicación del álgebra á la geometría: D. Francisco Gavás del álgebra; y D. Manuel María Cevalios de geometría..__Flecha la correspondiente gradúa* ion, resultó que D. Antonio Gil es acreedor al grado de sobrecaliente, adjudicándole un primer premio de justicia correspondiente á</t>
  </si>
  <si>
    <t>Cevalios, Pedro</t>
  </si>
  <si>
    <t>Pedro Cevalios</t>
  </si>
  <si>
    <t>Con fecha de 25 de noviembre se ha servido el Rey dirigir el siguiente real, decreto al Excmo. Sr. D. Pedro Cevalios. „ Hallándome satisfecho del zeío y amor á mi real persona , que ha acreditado constantemente el mariscal de campo de mis reales exércitos D. Antonio Olaguer Feliu, he venido en n</t>
  </si>
  <si>
    <t>Cevallos, Pedro</t>
  </si>
  <si>
    <t>Pedro Cevallos</t>
  </si>
  <si>
    <t>ropa, á los 7 5 años de su edad. ESPAÑA. : Madrid 21 de abril. Por tiña líota dirigtdá^al Excmo. Sr^D. Pedro Cevallos por el Excmo% Sr. D. Francisco de Beauharnois, embajador del emperador de los franceses, enviado extraordinario y ministro plenipotenciaria de S. M. I. el reyde Italia cerca del r</t>
  </si>
  <si>
    <t>iberalidad con que el Rey promueve la ciencia, debía ser el primero de Europa, quando el Excmo. Sr. D. Pedro Cevallos, en cumplimiento de la real orden, dispuso los medios de realizar tan útiles ideas. Tratóse inmediatamente de comenzar i recoger materiales para la Flora, y de ir formando' al mis</t>
  </si>
  <si>
    <t>ugía, en cumplimiento de real orden que con fecha de 20 del pasado la ha comunicado el Excmo. Señor D. Pedro Cevallos, primer secretario de Estado y del Despacho &amp;c. , hace «¡aber que se halla vacante la plaza de practicante mayor del real hospital de S. Carlos del real sitio de Aranjuez, la qual</t>
  </si>
  <si>
    <t>su parte con libros elementales el sobresaliente mérito que han acreditado. Queriendo el Excmo. Sr. D. Pedro Cevallos, primer Secretario de Estado y del Despacho, y protector del jardin, manifestar el alto aprecio que le merecen tan distinguidos jóvenes, y su amor á la escuela y á la ciencia, det</t>
  </si>
  <si>
    <t>Chacón, Miguel</t>
  </si>
  <si>
    <t>Miguel Chacón</t>
  </si>
  <si>
    <t>e de la Bola, y á los herederos de los que kayan fallecido, todo* acreedores de Miguel Chacón, vecino de esta corte en el año de 1783, para que al término preciso y perentorio de 9 dias, con denegación de otro, comparezcan en el juzgado de dh.ho señor teniente, y escribanía del nú</t>
  </si>
  <si>
    <t>Chasse, General</t>
  </si>
  <si>
    <t>General Chasse</t>
  </si>
  <si>
    <t>ral Gauthier, con los Regimientos 25 y 85 de infantería, guarnece la cabeza de este puente , que el General Chasse^ loup ha fortificado con mucha inteligencia. La fortificación , apoyada en el rio y ciertos pantanos, sin tener mas de 400 toesas de extensión, abraza un .campo atrincherado, capa</t>
  </si>
  <si>
    <t>Checa, Francisco</t>
  </si>
  <si>
    <t>Francisco Checa</t>
  </si>
  <si>
    <t>arcía, y el de Arguisuelas, ambos en la diócesi de Cuenca, vacantes el primero por fallecimiento de Don Francisco Checa, y el segundo por promoción de D. Josef Antonio Rius ,y Villacampa á una capellanía de la real capilla de S. Fernando de Sevilla; y para los curatos rurales de Blasco Ñuño y Madri</t>
  </si>
  <si>
    <t>Chepa, Francisco</t>
  </si>
  <si>
    <t>Francisco Chepa</t>
  </si>
  <si>
    <t>jHa del lugar de Arcas, por muerte de Don Vicente Asensk&gt;; la de Arrancacepas, por fallecimiento de D. Francisco Chepa; y para el préstamo de Torredefrades, en él obispado de Zamora, vacante por haber contraído matrimonio D. Dámaso Calvo, á D. Fernando María Pantoja, del orden de Alcántara,. capel</t>
  </si>
  <si>
    <t>Cherif, Miguel</t>
  </si>
  <si>
    <t>Miguel Cherif</t>
  </si>
  <si>
    <t>. Miguel Mauduit y D. Antonio Barrera: en el de Farnesio compañía al Ayudante, graduado de Capitán, D. Miguel Cherif, y Tenencia al Alférez É). Juan Rubio: en el de Alcántara compañía al Ayudante, graduado de Capitán, D. Antonio Canani; y en el de Santiago empleo de Alférez al Portaestandarte D.</t>
  </si>
  <si>
    <t>Cheron</t>
  </si>
  <si>
    <t>ci aguardaban á S. M. para el día 26. El 6 de junio se ensayó en Poitiers, á presencia del prefecto Mr. Cheron, del corregidor, del obispo, de la junta de gobierno de la sociedad de la caridad maternal fundada por Madama Cheron, y de los profesores y discípulos de la escuela de medicina, u</t>
  </si>
  <si>
    <t>Chiari y Félix Paredes, Pédro</t>
  </si>
  <si>
    <t>Pédro Chiari y Félix Paredes</t>
  </si>
  <si>
    <t>iente.de granaderos al de .fusileros D. Andrés Sartorio; á Tenientes de fusileros álos Subtenientes D. Pédro Chiari y Don Félix Paredes; á Subteniente de fusileros al Sargento primero distinguido</t>
  </si>
  <si>
    <t>Chichery, Agustín</t>
  </si>
  <si>
    <t>Agustín Chichery</t>
  </si>
  <si>
    <t>os D. Antonio Benito Schwager: en el dé Reding núm. 5.0 á Subteniente de granaderos al de fusileros Don Agustín Chichery; y en el de Traxler á Subteniente al Cadete D. Leoncio Belb. En el regimiento de caballería de la Reyna se ha servido S. M. conceder Tenencia al Alférez D. Josef Infante : en el d</t>
  </si>
  <si>
    <t>Chico de Guzmán y Salcedo, Pedro</t>
  </si>
  <si>
    <t>Pedro Chico de Guzmán y Salcedo</t>
  </si>
  <si>
    <t>, á 8 re. en rústica y 10 en pasta. La Mitología explicada, traducida del francés al castellano por D. Pedro Chico de Guzmán y Salcedo, obra elemental, indispensable á los jóvenes de uno y otro sexd-, y útil á toda clase de lectores; va adornada con roo láminas, en cuyo grabado se ha puesto el mayor esmero; tomo</t>
  </si>
  <si>
    <t>Choquet, Diego</t>
  </si>
  <si>
    <t>Diego Choquet</t>
  </si>
  <si>
    <t>sa sita en esta corte, calle de Jacometrezo, números 2 yj, manz. 379, en les quales se mostró parte D. Diego Choquet, y se tiene noticia haber fallecido; y por providencia que dio en ellos el Sr D. Francisco Nognes y Acevedo, caballero pensionado de la real y distinguida orden española de Carlos</t>
  </si>
  <si>
    <t>Choquet, Francisco</t>
  </si>
  <si>
    <t>Francisco Choquet</t>
  </si>
  <si>
    <t>iscal de ella, y varios interesados, sobre denuncia del patronato y memoria laical que mandó funder D. Francisco Choquet, consistente en una casa sita en esta corte, calle de Jacometrezo, números 2 yj, manz. 379, en les quales se mostró parte D. Diego Choquet, y se tiene noticia haber fallecido; y p</t>
  </si>
  <si>
    <t>Cid y Vázquez, Francisco</t>
  </si>
  <si>
    <t>Francisco Cid y Vázquez</t>
  </si>
  <si>
    <t>Se recibirán memoriales hasta el 24 del corriente, y podrán dirigirse al corregidor de dicha villa D. Francisco Cid y Vázquez. El 26 se dará principio á los exámenes, y á otro día de concluidos se h; rí la provisión. Se halla vacante la plaza de maestra de niñas de la villa deMondejar, en la Alcarria , d</t>
  </si>
  <si>
    <t>Cirilo López</t>
  </si>
  <si>
    <t>y Don Bartolomé Fauret: subtenencia de bandera en el de Mallorca al sargento primero de granaderos D, Cirilo López; y en el segundo batallón de voluntarios de Cataluña al cadete D. Francisco García de Orozco. S. M. se ha servido promover á capitán de granaderos en el regimiento suizo de Traxie</t>
  </si>
  <si>
    <t>Cirios Maliet</t>
  </si>
  <si>
    <t>universal á todos los empleados. Añaden que te sucederá Sir Cirios Maliet, el qual ha residido en esta plaza por espacio de 7 años. Ya vemos que á Sir Jorge Badow se le confirma el gobierno supremo» aunque la paz que ha negociado con Holkar, si se ha de</t>
  </si>
  <si>
    <t>Ciro de Mcneses y Camacho</t>
  </si>
  <si>
    <t>zo. S. M. se ha servido nombrar para la vara de alcalde mayor del gobierno de la ciudad de Mérida á D. Ciro de Mcneses y Camacho j y para ía de la villa dé Fuente del Maestre á D. Francisco Xavier Montero y Losada, ambas de Segunda clase, y en el territorio de la orden de 'Santiago. En América. El rey se há</t>
  </si>
  <si>
    <t>Clarke, General</t>
  </si>
  <si>
    <t>General Clarke</t>
  </si>
  <si>
    <t>se le abonarámeniualmente el sueldccqüe disfrutaba deJk}d~MariscaL Ayer pasó revista el Gobernador General Clarke á 2 Regimientos de coraceros, qu^, vienen de Italia para completar la nueva división que está formándose,aq|uii baxp las órdenes del General Spagne. (Gazeta de Fran~ BA VIERA. b «</t>
  </si>
  <si>
    <t>prehendidos en el decreto de ai de Noviembre los bienes y efectos de particulares, ha dado orden el General Clarke, Gobernador de las Provincias conquistadas en Prusia, para que se alce el embargo puesto por entonces á varias partidas de géneros en las ciudades de Magdeburgo, Sttetin, Custrin</t>
  </si>
  <si>
    <t>Claudia Constan</t>
  </si>
  <si>
    <t>quisiere hacer postura, acuda ante dicho juez, por la escribanía de ia subdelegaron, que desempeña D. Claudia Constan zo. . Por providencia de D. Agustín, íozano, comisionado regio en la diócesi de Orí huela, se ha señalado el 24 del, corriente para el remate de una hacienda de cabidi 184! tahull</t>
  </si>
  <si>
    <t>Clemencia, Diego</t>
  </si>
  <si>
    <t>Diego Clemencia</t>
  </si>
  <si>
    <t>leyó D. Joaquín Juan dé plores, académico de número y secretario perpetuo del cuerpo. Después leyó D. Diego Clemencia, individuo numerario del mismo, el elogio de la Reyna Católica Doña Isabel de Castilla, que había trabajado por encargo de la propia academia. Y por último el académico D. Martia</t>
  </si>
  <si>
    <t>Clement de Rist Mr</t>
  </si>
  <si>
    <t>nado, compuesta del presidente Mr. Lacepede, y de los pretores Mr. el mariscal duque de Dantzick, y Mr. Clement de Rist Mr. Lacepede pronunció el discurso á nombre del senado, y concluido entró á cumplimentar á S. M. otra diputación del tribunado. Se cree que el Rey y la Rey na de Holanda estarán en P</t>
  </si>
  <si>
    <t>Clemente de Campos</t>
  </si>
  <si>
    <t>a audiencia de Grados de la ciudad de Sevilla, para la plaza de juez civil de la ciudad de Cádiz: á D. Clemente de Campos, intendente de la provincia de la Mancha , para el 'Corregimiento d&amp; capa y espada de la ciudad de Murcia, unido á I3 intendencia.de aquella provincia; y á D. Pedro Jesús de Casta</t>
  </si>
  <si>
    <t>Clemente Fernández</t>
  </si>
  <si>
    <t>Pedro Ramos, D. Vicente Gis— bert y D. Benigno Arévalo; y en el de Alcántara ayudantía al teniente D. Clemente Fernandez. v También se ha servido el rey conferir la tenencia coronela del regimiento de dragones del Rejp al capitán agregado alyde la Reyna, graduado de teniente coronel, D. Pedro de Alc</t>
  </si>
  <si>
    <t>Clemente Ocaña</t>
  </si>
  <si>
    <t>: D. Santiago Pescador de estática: D. Antonio Gil del cálculo integral: D. Tomas Polo de dinámica: D. Clemente Ocaña de la aplicación del álgebra á la geometría: D. Francisco Gavás del álgebra; y D. Manuel María Cevalios de geometría..__Flecha la correspondiente gradúa* ion, resultó que D. Antonio Gil</t>
  </si>
  <si>
    <t>Clemente Ocaña y Santiago Pescador</t>
  </si>
  <si>
    <t>8 &lt;6 mas sólidos y completos; á este deben seguir D. Clemente Ocaña y Don Santiago Pescador, después D. Tomas Polo, y finalmente D. Francisco Gavás y D. Manuel María Cevallos. Premios -distribuidos cí los discípulos de estas escuelas. Vistas por la sociedad las graduacio</t>
  </si>
  <si>
    <t>Clemente Peñalosa y Zúñiga</t>
  </si>
  <si>
    <t>Quiroga y de Gómez Fuentenebro. El honor militar, causas de su origen, progresos y decadencia, por D. Clemente Peñalosa y Zúñiga: esta obra se divide en dos partes, la i.a trata de las virtudes del ánimo, y la 2.a de las del entendimiento, mirando aquellas conso las reglas invariables de la gloria y de la e</t>
  </si>
  <si>
    <t>Clemente, Manuel</t>
  </si>
  <si>
    <t>Manuel Clemente</t>
  </si>
  <si>
    <t>Licenc.· . 33··' 7. Manuel Clemente.... de Cayetano.. Sinar(as D. Manuel Moran.~. deP. •. Domin,,:, .. ": , ..</t>
  </si>
  <si>
    <t>Clemente, Miguel</t>
  </si>
  <si>
    <t>Miguel Clemente</t>
  </si>
  <si>
    <t>68 ... l. Miguel Clemente ..•••• 'de Tomas .•.•.• A,lican(e .• ·ó............... ~ ...... ,179Só.~; L·h:enc.·., ,,184·.·· 19 • . Miniano M:arcQ ....... de Vicente .... Mislata</t>
  </si>
  <si>
    <t>Clemente, Papa</t>
  </si>
  <si>
    <t>Papa Clemente</t>
  </si>
  <si>
    <t>argáronle el monumento que se iba á erigir en la iglesia de los Apóstoles en Roma, á la memoria del Papa Clemente xiv: aquí se le presentó al profesor un nuevo campo, que hasta entonces no había sido trillado por ningún otro , y por lo mismo se podía entregar á todo el impulso de su **• \&lt; (i</t>
  </si>
  <si>
    <t>Jaftóva, ji Roma. Teseo sentado sobre el minotauro, grupo de mármol; está en Ñapóles. Monumento del Papa Clemente xrvyó Ganganeli, de mármol, figuras colosales, en Roma en la iglesia de S. Pedro. Amor y Psiquis, de mármol, en la galería del Príncipe Murat,en París. Copia del mismo, en mármol,</t>
  </si>
  <si>
    <t>os dos púgiles* Bustos, Busto del Dox de Venecia Paulo Renierr, de mármol , en Venecia. Retrato del Papa Clemente xm para su monumento colosal en Roma. Retrato del caballero Emo, de mármol, para su monumento. Retrato colosal del Rey de Ñápeles. Busto del Emperador Napoleón, de mármol, colosal</t>
  </si>
  <si>
    <t>Clermont-Tonerre</t>
  </si>
  <si>
    <t>oficial ha salido para Otranto.» donde se embarcará para dirigirse á la esquadra rusa: le acompaña Mr. Clermont-Tonerre, capitán comandante de la artillería de á caballo de S. M. el Rey de Nápoies. Se han despachado órdenes á todos los puertos de este reyno para admitir en ellos á las embarcaciones</t>
  </si>
  <si>
    <t>Clethente Peñalosa y Zúñiga</t>
  </si>
  <si>
    <t>escritura sagrada. Se hallará en la librería de Escribano, calle de las Carretas. La monarquía, por D. Clethente Peñalosa y Zúñiga: esta obra está dividida en 3 partes: 1.a caracteres de la monarquía én su abstracción -. í.* caracteres de la monarquía relativos á la nación: g.*mbnarquíacónsideradá relativamen</t>
  </si>
  <si>
    <t>Cochrane Johnstone</t>
  </si>
  <si>
    <t>Maida. Esta propuesta fue aprobada unánimemente. Sesiones desde el 30 de junio hasta el y de julio* Mr. Cochrane Johnstone hizo una propuesta dirigida á que se tomen algunas providencias para disminuir la horrible mortandad á que están expuestas en las colonias de América nuestras tropas, las quales h</t>
  </si>
  <si>
    <t>n tenga facultad para hacer comparecerías personas y exhibir los documentos que crea necesarios. * ¡Mr. Cochrane Johnstone apoyó la propuesta, que impugnaron muchos vocales del partido ministerial. El debate ha sido largo y muy acalorado. Después de llenarse de injurias é improperios, ambos partidos h</t>
  </si>
  <si>
    <t>Cochrane, Lord</t>
  </si>
  <si>
    <t>Lord Cochrane</t>
  </si>
  <si>
    <t>62,367 libias para el'de 1806. 471,246 libras para la artillería de Irlanda. Sesión del f de julio- Lord Cochrane hizo una propuesta sobre los empleados públicos yy sobre los que gozan pensiones del estado, con el objeto, según dixo, de excitar algunos sentimientos de vergüenza en el co¿azon</t>
  </si>
  <si>
    <t>pronostiqué que se iría también á pique, como ha sucedido, perdiéndose el buque con toda su gente.” Lord Cochrane se quejó asimi mo del estado de las embarcaciones que están actualmente en el mar, y de las órdenes severas y rigurosamente executadas, que no permiten á ningún marinero baxar á t</t>
  </si>
  <si>
    <t>Cocnrane, Lord</t>
  </si>
  <si>
    <t>Lord Cocnrane</t>
  </si>
  <si>
    <t>ompleta. A pesar de estas reflexiones se dió permiso para presentar el bilí, Sesim del ro de julio. Lord Cocnrane hizo la propuesta que había anunciado en la sesión anterior, pidiendo la .presentación de los papeles que prueban , á su parecer, que el modo con que se han gobernado hace algunos</t>
  </si>
  <si>
    <t>Coíalio, Gerónimo</t>
  </si>
  <si>
    <t>Gerónimo Coíalio</t>
  </si>
  <si>
    <t>ner prendidos con el grueso y circunstancias del edicto 661 castaños : 2® rs. a Gerónimo Coíalio, vecino de Tiraña , Concejo de Langreo, por haber plantado y tener prendidos con todas las circunstancias que,exigió L,Sociedad 1815 avellanos; 1® rs. á D. Pedro Menendez Arguelles., veci</t>
  </si>
  <si>
    <t>Coll y Lianza, Felipe</t>
  </si>
  <si>
    <t>Felipe Coll y Lianza</t>
  </si>
  <si>
    <t>. Miguel Rajart; empleo de alférez al portaestandarte D. Cristóbal Blasco; y esta resulta ai cadete D. Felipe Coll y Lianza: finalmente se ha dignado S. M. conceder empleo de portaestandarte en el de Montesa al Cadete D. Manuel Astraudi; y en el de dragones de Lusitania tenencia al alférez D. Diego Ram</t>
  </si>
  <si>
    <t>Coll, Juan</t>
  </si>
  <si>
    <t>Juan Coll</t>
  </si>
  <si>
    <t>eficio de coro y altar de la catedral de Ibiza, vacante por fallecimiento de D. L idoro Montero , á D. Juan Coll. ■ "* S. M. se ha servido conceder en el regimiento de infantería de Extremadura subtenencia de bandera al cadete D. Diego González de Mendoza. El Rey se ha servido conceder á los</t>
  </si>
  <si>
    <t>Collado, Antonio</t>
  </si>
  <si>
    <t>Antonio Collado</t>
  </si>
  <si>
    <t>sa de D. Manuel Navarro. VENTAS JUDICIALES. Por providencia del Sr, D. Torqu&amp;to Antonio Collado, teniente corregidor de esta vida, se ha mandado continuar por término de 15 dias la subasta de las fincas siguientes: una casa cn.la vida de Barajas, sita en ía calle Beal de Madrid, en la</t>
  </si>
  <si>
    <t>rjuicio que si concurriesen personalmente. Por providencia del Sr. D. Toíquato. Antonio Collado , teniente corregidor de esta villa, está mandado citar, llamar yemplazar á los parientes mas cercanos de D. Francisco de Soro y Marzana paraque en el término de 15 dias, que por primero , s</t>
  </si>
  <si>
    <t>empedradas, en 6$. Quien quisiere hacer postura, acuda ante el Sr. D. Torqu3to Antonio Collado, teniente corregidor de esta villa, por la escribanía cícl número que cxcrce D. Juan Raya; y está señalado para su remate el día 20 de este mes. Por providencia del Sr. D. León de Sagasta,</t>
  </si>
  <si>
    <t>Collantes, Manuel</t>
  </si>
  <si>
    <t>Manuel Collantes</t>
  </si>
  <si>
    <t>gira* duado de capitán D. Ignacio Balanzat: en. el de Burgos tenencia al subteniente de granaderos D. Manuel Collantes; y el empleo de capitán segundo en el segundo batallón de Voluntarios de Cataluña al segundo ayudante D. Ramón ¡Lio ve t. El rey se ha servido promover á sargento mayor en el regi</t>
  </si>
  <si>
    <t>Collia, Pedro Antonio</t>
  </si>
  <si>
    <t>Pedro Antonio Collia</t>
  </si>
  <si>
    <t>enda acuda á tratar, en metálico ó en vales reaLes,con el escribano de dicha villa, y en Madrid con D. Pedro Antonio Collia , en la botillería de Sta. Cruz. A voluntad de su dueño se vende una casa sita en la calle del Nuncio de la villa dé Legancs, inmediata al quartel de reales guardias Walonas, que</t>
  </si>
  <si>
    <t>Collihgwood, Lord</t>
  </si>
  <si>
    <t>Lord Collihgwood</t>
  </si>
  <si>
    <t>Sir. Sidney Smith ha llegado á Pórtsmouth á bordo del Termagant, corbeta que viene con pliegos del Lord Collihgwood. Por este conducto Se ha sabido la pérdida del oavío Athenienne, de 64 cañones, que se Ha perdido con la mayor parte de su tripulación en los escollos dé Skerki en eli mediterráne</t>
  </si>
  <si>
    <t>Collingwood, Almirante</t>
  </si>
  <si>
    <t>Almirante Collingwood</t>
  </si>
  <si>
    <t>Cerca de Pirano cruzan dos navios de guerra, uño de la esquadrafdé Sfciney Smitli, y otro dé la del Almirante Collingwood, que detienen todas las embarcaciones que vienen dirigidas á este puerto: las visitan, y apresan las procedentes de los puertos de Fráfícia. Así cogiéron en dias pasados 7 de ella</t>
  </si>
  <si>
    <t>Collingwood, Lord</t>
  </si>
  <si>
    <t>Lord Collingwood</t>
  </si>
  <si>
    <t>agacidad y zelo se habla anticipado destacando 3 navios de su esquadra al mando del almirante Luis. Lord Collingwood recibió los pliegos del gobierno en 12 de enero, y destinó inmediatamente al almirante Duckworth para comandante de la esquadra encargada de esta importante comisión, el qual part</t>
  </si>
  <si>
    <t>Colloredo-Mansfeld, Príncipe</t>
  </si>
  <si>
    <t>Príncipe Colloredo-Mansfeld</t>
  </si>
  <si>
    <t>al de Gallizia, S. M. el Emperador Alejandro estará á estás horas en Brezck, ciudad de Lituania. El Príncipe Colloredo-Mansfeld, sumiller de S. M. el Emperador, su consejero íntimo, ministro qué fue de conferencias, y vice canciller del imperio, falleció en esta ciudad el 27 del mes anterior , á los 76 año</t>
  </si>
  <si>
    <t>Colomar, Bartolomé</t>
  </si>
  <si>
    <t>Bartolomé Colomar</t>
  </si>
  <si>
    <t>o completo de ios males sifilíticos ó venéreos por F. Swedíaur, traducido con notas y adiciones por D. Bartolomé Colomar, médico de número de los reales exércitos &amp;c. Ei autor manifiesta, con textos de los libros mas antiguos que tenemos, como la Biblia, los de Hipócrates y otros autores griegos y l</t>
  </si>
  <si>
    <t>Colombier</t>
  </si>
  <si>
    <t>e medicina y cirugía prácticas, escrita y publicada de órden del gobierno de Francia por el célebre Dr. Colombier, y traducida al castellano en 3 tomos: el r.° trata de las calenturas, y se dan á conocer su naturaleza sus fenómenos, causas y epifenómenos, á fin de hacer mas segura y metódica</t>
  </si>
  <si>
    <t>Colomo, Pedro</t>
  </si>
  <si>
    <t>Pedro Colomo</t>
  </si>
  <si>
    <t>e artilleros veteranos de la plaza de Ceuta se ha dignado el Rey promover á teniente al subteniente D. Pedro Colomo, y á subteniente al sargento primero D. Miguel García. S. M. se ha servido conferir el gobierno militar y político de la plaza de Barcelona al mariscal de campo D. Cárlos de Witre</t>
  </si>
  <si>
    <t>ColUngwood y del Capitán, Almirante</t>
  </si>
  <si>
    <t>Almirante ColUngwood y del Capitán</t>
  </si>
  <si>
    <t>as deshizo, y la noticia se publicó en el café de Lloyd. Otrosmvifos recibidos- posteriormente- del Almirante ColUngwood y del Capitán; Müdge; coiififinan la misma:.especie. Machas ifamilias? escocesas tra</t>
  </si>
  <si>
    <t>Comandante Británico</t>
  </si>
  <si>
    <t>o^ que están ciertamente dispuestos á recibir como&gt; merecen á los ingleses*. El Comandante Británico, en vista de haber: mudando las circunstancias,j habrá de, volverse, á Inglaterra.. iMondres'TCrdé'enemi. Elri7 déXeorriéffté^efr^iÓ M‘. T. Gienville al Lord M</t>
  </si>
  <si>
    <t>comandante Concha</t>
  </si>
  <si>
    <t>misma clase D. Manuel Viüavicencio, y 5 oficiales mas de los otros cuerpos. El comandante Concha recibió un balazo en el sombrero, y una contusión en la espalda dé otro de rebote *, habiendo perdido mas de 200 hombres entre muertos y heridos, y habiéndosel</t>
  </si>
  <si>
    <t>comandante Kenadovich</t>
  </si>
  <si>
    <t>castillo de Srebeniza. Después se reunieron en las inmediaciones de Crusca los comandantes Stamatovich y Kenadovich, y según las apariencias trataban de mafchar contra la capital de Bosnia. Mas no por esto abandonaban el sitio de las tres fortalezas de Visigrado, Zuornick y</t>
  </si>
  <si>
    <t>Comandante Linier</t>
  </si>
  <si>
    <t>ropa á discreción , pues la nuestra queria pasarlos á cuchillo, lo que evitó el Comandante Linier. En este ataque general se arrastró ¿ brazo toda nuestra artillería, que.estuvo perfectamente servida y dirigida. P. Quién tomó el mando ¡de la capital después</t>
  </si>
  <si>
    <t>comandante Melenko</t>
  </si>
  <si>
    <t>nte la ausencia de Cerni-Jorge queda mandando el exército servio en Bulgaria el comandante Melenko. RUSIA. Petersburgo &lt;) de setiembre. La guardia imperial hizo su entrada solemne en esta capital el dia 5 del corriente. Concurrieren á verla, entre otros emba</t>
  </si>
  <si>
    <t>comandante Mladen-Milloranowich</t>
  </si>
  <si>
    <t>e Ipsilanti; y por parte de la Servia, del general Cerni-Jorge Petrowitsch, del comandante Mladen-Milloranowich, de dos senadores y de un secretario del sínodo. El consejero Bisani ha ido á Petersburgo con los despachos. Durante la ausencia de Cerni-Jorge queda mandando</t>
  </si>
  <si>
    <t>comandante Murfi</t>
  </si>
  <si>
    <t>te número un sargento y 2 soldados del regimiento de infantería de la Reyna. El comandante Murfi manifiesta en el parte dado al capitán general el valor , serenidad y entu dasmo de las tripulaciones de las lanchas; habiéndose distinguido particularmente lo</t>
  </si>
  <si>
    <t>Comandante Schoeni</t>
  </si>
  <si>
    <t>tiáron en nuestro poder. El Mariscal Ney está muy satisfecho de la conducta del Comandante Schoeni. Nuestros puestos avanzados por aquel lado llegan hasta Strasburg. ; El ii, alas seis déla mañana, se oyó un cañoneo hacia el lado del Bug. El Mariscal Davoust</t>
  </si>
  <si>
    <t>comandante Stamatovich</t>
  </si>
  <si>
    <t>Comandante Turco</t>
  </si>
  <si>
    <t>assy. Se asegura que los Rusos han intimado la rendición á Choczim; pero que el Comandante Turco no ha querido rendirse. Jena 13 de Diciembre. El Príncipe de Neufchatel ha dirigido á esta Universidad la siguiente orden de S. M. el Emperador de los Francese</t>
  </si>
  <si>
    <t>Comandante, Capitán</t>
  </si>
  <si>
    <t>Capitán Comandante</t>
  </si>
  <si>
    <t>Mayor General&gt; Comandante del fuerte; él Mayor de Ruville, segundo Comandante, y el Conde de Monís, Capitán Comandante en el Regimiento de infantería de Zweifel, de la otra, ’ Articulo i. La guarnición Prusiana quedará prisionera de guerra. Desfilará con todos los honores militares seis dias después</t>
  </si>
  <si>
    <t>Comandante, Coronel</t>
  </si>
  <si>
    <t>Coronel Comandante</t>
  </si>
  <si>
    <t>rvitz, = Vandanme. Capitulación de la fortaleza de Plasenburgo, ajustada entre el Conde de JBéckér, Coronel Comandante del 6.° Regimiento de infantería de linca : del Rey de Baviera, Comandante del bloqueo del fuerte j el M tyor de Comean , gefe del Estado mayor del cuerpo qúé bloquea el fuerte , auto</t>
  </si>
  <si>
    <t>ctividad de la guardia naeicnal de Leida eR esta ocasiog , ha nombrado á Mr. Pedro Cunaeus,Teniente Coronel Comandante de dicha guardia, caballero de la real orden del Mérito. .V ,. pramciáif ■ y y - - ; . * ¡Parts 23 de Enero. DIARIO QUADRAGE9IMONONO DEL EXERCJTO GRANDE. Varsovia 8 de Enero. Se ha r</t>
  </si>
  <si>
    <t>Comandante, General</t>
  </si>
  <si>
    <t>General Comandante</t>
  </si>
  <si>
    <t>o mayor del cuerpo qúé bloquea el fuerte , autorizados oí efecto con poderes de S. M. Bavara, y del General Comandante de las provincias de Franconia, el Conde de Isemburgo, de una parte : y él Barón deUttenhofen 3 Mayor General&gt; Comandante del fuerte; él Mayor de Ruville, segundo Comandante, y el Conde</t>
  </si>
  <si>
    <t>6 de enero de 1807</t>
  </si>
  <si>
    <t>iones que las de la guarnición; pero se pasará una revista á los soldados que las Componen; y si el General Comandante juzga que no pueden ir á Francia, señalará''-los pueblos adonde debe retirarse cada una: en todo, caso, sus sueldos y subsistencias las recibirán como los prisioneros de guerra^qu</t>
  </si>
  <si>
    <t>mandan, para un servicio ordinario y momentáneo.} el servicio activo militar se realizará quaado el General Comandante en gefe de los guardias nacionales ordene su reunión en un parage señalado, ó quando los emplee en el servicio de una plaza; en qualquiera de los dos servicios estarán sujetos á la</t>
  </si>
  <si>
    <t>Conde de Coupigni, Alexandro</t>
  </si>
  <si>
    <t>Alexandro Conde de Coupigni</t>
  </si>
  <si>
    <t>s guardias Walonas se ha servido S. M. conferir el empleo de teniente coronel ál; mariscal de campo D. Alexandro Conde de Coupigni, sargento mayor i del mismo cuerpo: esta resulta al brigadier D. Manuel de Craiwinckel, comandante de batallón; y el empleo de segundo ayudante mayor al alférez agregado Dv Cárlos</t>
  </si>
  <si>
    <t>Conde de Malachowski, Mariscal</t>
  </si>
  <si>
    <t>Mariscal Conde de Malachowski</t>
  </si>
  <si>
    <t>Varsovia, Posen, Kalisch, Bromberg, Plock y Bíalystoek. ^-Lviii. Los vocales de la junta, serán el Mariscal Conde de Malachowski, el Presidente de la cámara de rcn</t>
  </si>
  <si>
    <t>Conde, Manuel</t>
  </si>
  <si>
    <t>Manuel Conde</t>
  </si>
  <si>
    <t>os, D. Juan Nepomuceno Nuñez y D. Silvestre Díaz Granados; á Teniente de granaderos al de fusileros D. Manuel Conde ; á Tenientes de fusileros á los Subtenientes D. Henrique Arroyüelo, D. Juan Antonio de Zayas, D. Pascual Diaz Granados y D. Simón Guerrero; á Subteniente de granaderos al de fusi</t>
  </si>
  <si>
    <t>Conde, Sebastián</t>
  </si>
  <si>
    <t>Sebastián Conde</t>
  </si>
  <si>
    <t>e este á D. Nicolás Cuervo: p2ra otra canongía'de Puerto-Rico, vacante también por fallecimiento de D. Sebastian Conde, á D. Joaquín Valentín de Urquizo, y para la radon de esteá Don Josef Antonio de Ezpeleta, teniente de cura de aqueUa catedral; finalmente ha nombrado S. M. para una ración de la</t>
  </si>
  <si>
    <t>Congreve</t>
  </si>
  <si>
    <t>94i Esperamos de un dia á otro al general Anchmuty, que salid ya de Montevideo. Mr. Congreve, inventor de los cohetes incendiarios, ha salido de Yarmouth para el Sund con quatro naves cargadas de materias inflamables. Según noticias de Nueva-Yorck la marina americana se c</t>
  </si>
  <si>
    <t>Cathcart se mantenga en Zelandia hasta nueva orden. Es falsa la voz que ha corrido de la muerte de Mr. Congreve, inventor de los cohetes incendiarios, que se han puesto en uso por la primera vez en el bombardeo de Copenhague. -- Después de la capitulación de esta ciudad Mr. Congreve estuvo</t>
  </si>
  <si>
    <t>sa la noche del de setiembre en las inmediaciones dei Texcl, y anibó con gran trabajo á Inglaterra. Mr. Congreve está en Londres desde e). 4 de octubre. Las voces esparcidas estos dias pasados acerca del rompimiento con Rusia han tomado ya tal consistencia, que han subido á un precio extraordi</t>
  </si>
  <si>
    <t>Connelly, Tomás</t>
  </si>
  <si>
    <t>Tomás Connelly</t>
  </si>
  <si>
    <t>en el regimiento de infantería de voluntarios de Estado compañía al teniente, graduado de capitán, D. Tomas Connelly. , •En el regimiento de.caballería del Príncipe se lia servido S. M. conceder, empleo de portaestandarte al sargento primero D. Miguel Ximeno: en el de Farnesio tenencias á los al</t>
  </si>
  <si>
    <t>Constantino, Duque</t>
  </si>
  <si>
    <t>Duque Constantino</t>
  </si>
  <si>
    <t>z, á grande orquesta, para piano: la de Marcngo para ídem : 6 marchas1 militares, dedicadas al Gran Duque Constantino,por Boceldiu: una grande sonata para piano, dedicada á Madama Bonáparte, por Steibeít: 3 sonatas para dicho, dedicadas á lá Reyna de Prusia, por Himel: 3 trios de Woelff para dich</t>
  </si>
  <si>
    <t>18 de julio de 1807</t>
  </si>
  <si>
    <t>63 (extraord.)</t>
  </si>
  <si>
    <t>l mismo tiempo salió el Emperador Alexandro de la margen derecha en otro barco, acompañado del gran Duque Constantino, del general Beningsen, dei general Ouwaref, del Príncipe Labanof, y de su primer edecán el conde de Lléven. Los dos barcos llegaron á un tiempo; los dos Emperadores se han abraza</t>
  </si>
  <si>
    <t>26 de julio de 1807</t>
  </si>
  <si>
    <t>66 (extraord.)</t>
  </si>
  <si>
    <t>en el palacio del Empera■ ^ ; -r * r - í , * ■' ‘ / _ dÓr Napoleón con la Reyna de Prusia, el gran Duque Constantino, el Príncipe Henrique de Prusia, el • ; • *• « ‘ t gran Duque de Berg, y el Príncipe Real de Baviera. EN LA IMPRENTA REAL.</t>
  </si>
  <si>
    <t>y duración de la paz. El Emperador Napoleón ha enviado la gran banda de la legión de Honor al gran Duque Constantino, al Príncipe Kourakin, al Príncipe Labanofif y á Mr. Budberg. El Emperador Alexandro ha condecorado con las insignias de la grande orden de S. Andrés al Príncipe Gerónimo Napoleón</t>
  </si>
  <si>
    <t>cantonado en la Lituania, va caminando á las provincias interiores. El Emperador Alexandroy el gran Duque Constantino ban vuelto á Petersburgo. Las tropas polacas que se habian adelantado hasta las fronteras de la Lituania, volvefán á guarnecer las ciudades del ducado de Varsovia. Desde que el Em</t>
  </si>
  <si>
    <t>El primero viene acompañado de muchos oficiales franceses, y hoy asistirá á la revista que el gran Duque Constantino va á pasar álos dos caerpos de cadetes, de que es gefe. Se le trata con la mayor distinción. La plata en barras que hace dos meses habia venido aquí de Inglaterra, se ha vuelto á</t>
  </si>
  <si>
    <t>Constantino, Príncipe</t>
  </si>
  <si>
    <t>Príncipe Constantino</t>
  </si>
  <si>
    <t>educación de los Príncipes de la familia imperial, y entre ot»*os la del Emperador Alexandro y del Príncipe Constantino. El conde Soltikof se ha criado con estos Príncipes» DUCADO DE VARSOVIA. Var savia 12 de agosto. El dia 7 hubo en Thorn un incendio ocasionado por la explosión de un caxon de pólv</t>
  </si>
  <si>
    <t>etado por el congreso en 24 de febrero de este año. RUSIA. Petetsburgo 20 de setiembre. S. A. I. el Príncipe Constantino ha sido nombrado inspector general de la caballería, y tenientes generales el Príncipe Italinski, el conde Souwarow y Mrs. Rynsnisky, Alsufyeff, Sufonoff, Steinhell y Bagdonoff. E</t>
  </si>
  <si>
    <t>una marcha,!.en un quaderno, 18: una graciosa pieza para piano, en la forma siguiente: el minué del Príncipe Constantino, el de Cerní Jorge, el del general Koche, con Un alegro sobre el intento de la marcha imperial del Emperador Alexandro, 18: la grande marcha de Síralsund para piano, 8; y la grand</t>
  </si>
  <si>
    <t>ad dice, refiriéndose á cartas de Petersburgo, que el Emperador Napoleón ha convidado á S. A. I. el Príncipe Constantino á que vaya á París, y que el Príncipe ha aceptado el convite. El gabinete sueco mantiene siempre relaciones políticas con el de Dinamarca ; y el barón de Taube, enviado de Suecia,</t>
  </si>
  <si>
    <t>no ú órgano, á 10: un quaderno de piezas escogidas nuevas para forte-piano, compuesto del minué del Príncipe Constantino, el de Cerní Jorge, el del general Hoche, el del duque de Berg, una marcha imperial, con su alegro del Emperador Alexandro i, y finaliza con la marcha de Stralsund, á 24; y este m</t>
  </si>
  <si>
    <t>Constanza, Claudio</t>
  </si>
  <si>
    <t>Claudio Constanza</t>
  </si>
  <si>
    <t>s. Quien quisiere hacer postura comparezca, ante dicho subdelegado, por la escribanía que desempeña D. Claudio Constanza. Por providencia del barón del Solar de Espinofa, juez subdelegado comisionado para la venta de bienes eclesiásticos secularizados en el.departamento de Xerezr de los Caballeros,</t>
  </si>
  <si>
    <t>Constanzo, Claudio</t>
  </si>
  <si>
    <t>Claudio Constanzo</t>
  </si>
  <si>
    <t>uien quisiere hacer poitura, lo executará por la escribanía de la mi¿mñ subdelegaron, que desempeña D. Claudio Constanzo; en inteligencia de que su remate se verileara al 3.0 dia de concluida esta subasta, que dió principio en 10 de junio prúxímo pasado. Por provi encía de D. Juan Nepomuceno Guerra,</t>
  </si>
  <si>
    <t>diana, en 52,083 rs. 11 mrs. Quien quisiere hacer postura, comparecerá por la escribanía que exerce D. Claudio Constanzo. Por providencia de D. Joaquín Tercero Gaseo, subdelegado para la venta de bienes eclesiásticos en la villa de Olmedo, diócesi de Valladolid, se ha señalado el dia 18 del presente</t>
  </si>
  <si>
    <t>en 89,460 rs. Quien quisiere batel-mejora, acuda á la escribanía de la subdelegaron, que desempeña D. Claudio Constanzo; en la inteligencia de que su remate se ha de verificar al 3.® dia de concluida dicho término. A virtud de real facultad se ha mandado sacar á pública subasta, por término de 30 d</t>
  </si>
  <si>
    <t>rs. ii| mrs. Quien quisiere hacer postura, acuda á la escribanía de la subdelegaron, que desempeña D. Claudio Constanzo. Por providencia de D. Manuel Sánchez, subdelegado para la venta de bienes eclesiásticos ¿n la diócesi de Teruel, se ha mandado sacar á pública subasta una heredad sita en el térm</t>
  </si>
  <si>
    <t>cónsul Francia</t>
  </si>
  <si>
    <t>probado fornial*.. mente la conducta de sus generales respecto de Mr. Rheinard, cónsul Francia en Ya*si, capital de Moldavia, á quien hicíéron prender y llevaji i, Rusia, y que ha dado orden de ponerlo en libertad. Continúan las malas noticias de nuestras</t>
  </si>
  <si>
    <t>Conti, Ramón</t>
  </si>
  <si>
    <t>Ramón Conti</t>
  </si>
  <si>
    <t>n se ha dignado el Rey conceder empleo de portaguión en el regimiento de dragones del Rey al cadete D. Ramón Conti; y en el de Sa.gunto empleo de alférez al portaguión D. Cayetano Maturana. El dia 9 de noviembre, á las 10 de la mañana, principiará D. Josef Mi</t>
  </si>
  <si>
    <t>Conway, Francisco</t>
  </si>
  <si>
    <t>Francisco Conway</t>
  </si>
  <si>
    <t>cia coronela ai teniente coronel D. Josef de Ribas,, sargento roayrr del de Almansat esta re.ulta á D. Francisco Conway, capitán del citado Villaviciosa; y en el de Lusitania empleo de portaguión al cadete. D. Miguel García. También se ha dignado el Rey conferir Ja tenencia coronela del regimiento</t>
  </si>
  <si>
    <t>Corbineau, General</t>
  </si>
  <si>
    <t>General Corbineau</t>
  </si>
  <si>
    <t>ones. París 20 de Muero. DIARIO QUADRAGESIMOOCTAVO DEL EXERCITO GRANDE. Varsovía j de Enero. ' ; El General Corbineau, Edecán del Emperador, salió de Pultusk con 3 regimiento;, de caballería ligera para seguir el alcance del enemigo. Des-, pues de haber ocupado á Brock, llegó el i.° de Enero á Os</t>
  </si>
  <si>
    <t>Cordero, Manuel</t>
  </si>
  <si>
    <t>Manuel Cordero</t>
  </si>
  <si>
    <t>uerzos del enemigo para impedirle el paso. — También ha dado cuenta á S. A. S. el teniente de navio D Manuel Cordero, comandante de una división de faluchos cañoneros de Cartageca, que hallándose el día 27 del mes próximo pasado á la altura del monte de Cope, avistó una fragata y un bergantín de</t>
  </si>
  <si>
    <t>Córdoba y Heredia, Antonio</t>
  </si>
  <si>
    <t>Antonio Córdoba y Heredia</t>
  </si>
  <si>
    <t>y cL*l teniente general D. Antonio Córdoba y Heredia, se ha servido S. M. concederles plaza efectiva en su consejo de Estado, con la casa-aposento, emolumentos y relevación de la media anata. S. M. se ha servido nombrar á D. Antonio</t>
  </si>
  <si>
    <t>Cornet, Francisco</t>
  </si>
  <si>
    <t>Francisco Cornet</t>
  </si>
  <si>
    <t>ha servido conferir la sargentía mayor del regimiento de caballería de Farnesio al teniente coronel D. Francisco Cornet, capitán del mismo cnerpo. Por decreto de 20 de setiembre próximo pasado, dirigido á la cámara, ha venido el Rey en admitir á D. Tomas María Romero y Agredano la renuncia que ha h</t>
  </si>
  <si>
    <t>Corradi, Juan</t>
  </si>
  <si>
    <t>Juan Corradi</t>
  </si>
  <si>
    <t>ad: historias y novelas escritas en francés por Mr. Baculard de Arnaud, y puestas en castellano por D. Juan Corradi: 8 tomos en 8.® Se hallarán en la librería de Arribas, calle de las Carretas, á 80 rs. en rústica y 96 en pasta. Memorias sobre la vida de Carlos Fox, Ministro de Inglaterra, cont</t>
  </si>
  <si>
    <t>CorráJes y Huerta, Miguel</t>
  </si>
  <si>
    <t>Miguel CorráJes y Huerta</t>
  </si>
  <si>
    <t>mora,* y en virtud de auto del juefe subdelegado del tercer departamento de la villa de Fuentesauco D. Miguel CorráJes y Huerta, se ha señalado eldia 25 del presente para el remate de una heredad de $68 fanegas y g quartillos de tierra, con inclusión de dos huertos cercados de -tapia, dos alamedas y dos pr</t>
  </si>
  <si>
    <t>Corrales y Huerta, Miguel</t>
  </si>
  <si>
    <t>Miguel Corrales y Huerta</t>
  </si>
  <si>
    <t>924 delegado,del tercer departamento 4de Fuentesauco D. Miguel Corrales y Huerta se ha señalado el dia.iodelcorriente para el reñíate de las fincas siguientes: una he-; redad de tierras compuesta de ¡23 r fanegas, 2§ celemines,y 83 pas-s, inclusos 3, y.una cor</t>
  </si>
  <si>
    <t>Corrales, Buenaventura</t>
  </si>
  <si>
    <t>Buenaventura Corrales</t>
  </si>
  <si>
    <t>respondientes á su destino, valuada en 67,330 rs. Quien quisiere hacer postura, acuda al ofi ció de D. Buenaventura Corrales. Para el remate de una casa masada, con sus corrales, parideras de ganado, y tierras pertenecientes á ella, sita en la partida de S. Blas, barrio de la ciudad de Teruel, tasada en</t>
  </si>
  <si>
    <t>Correa, Antonio</t>
  </si>
  <si>
    <t>Antonio Correa</t>
  </si>
  <si>
    <t>rtamento de Chile á D. Santiago Fernandez, S. M. conceder grado de teniente coronel de infantería á D. Antonio Correa, capitán de las compañías fixas de artilleros veteranos'del departamento de Lima, y promover á subtenientes de las compañías fixas de artilleros veteranos en el departamento de la</t>
  </si>
  <si>
    <t>Correa, Benito</t>
  </si>
  <si>
    <t>Benito Correa</t>
  </si>
  <si>
    <t>Joaquín Ruiz,él Teniente dé Fragata D. Cándido la Sala, y D. Josef Posadas, los Alféreces de Navio D. Benito Correa, D. Manuel de la Iglesia , D. Joaquín Toledo y D. Josef Miranda, y el de Fragata D. Federico la Cosle noche fué malísima. La tropa la pasd sobre las armas, sin que sé óptase la me</t>
  </si>
  <si>
    <t>Rivas* y heridos los tenientes de navio D. Cándido Lasala, D. Antonio Leal de Ibarra, el de fragata D. Benito Correa, y el alférez de la misma clase D. Manuel Viüavicencio, y 5 oficiales mas de los otros cuerpos. El comandante Concha recibió un balazo en el sombrero, y una contusión en la espald</t>
  </si>
  <si>
    <t>navio D. Gandido Lasala, D. Josef Posadas y D. Jacinto Romárate; los de fragata D. Manuel Iglesias, D. Benito Correa, D. Domingo Allende y D. Josef Miranda; los alféreces de navio D. Federico Lados y D. Jacinto Butler, y los de fragata D. Josef Aldana y D. Martin Asas. Los ataques por los demás</t>
  </si>
  <si>
    <t>Corsellis, Jorge</t>
  </si>
  <si>
    <t>Jorge Corsellis</t>
  </si>
  <si>
    <t>mayor Waiker, y por mas que haga ni diga Mr. Duncan, él mismo está gobernado también por el mayor. Mr. Jorge Corsellis d Mr. Juan Bawstree. Cambaya 6 de agosto de 1806. Se dice que nue tro actual gobernador Mr. Duncan va á salir para Inglaterra. Esta mudanza causará una satisfacción</t>
  </si>
  <si>
    <t>Cortés y Arias, Antonio</t>
  </si>
  <si>
    <t>Antonio Cortés y Arias</t>
  </si>
  <si>
    <t>para una canongía de la catedral de León, vacante por fallecimiento de D. Ignacio Pascual Barra, á D. Antonio Cortés y Arias, cura párroco de la villa de Monte-Rubio, en el priorato de la ó den de Alcántara: para la media-ración de la catedral de Málaga, vacante por promoción de D. Josef María Granados</t>
  </si>
  <si>
    <t>Cortes, Fernando</t>
  </si>
  <si>
    <t>Fernando Cortes</t>
  </si>
  <si>
    <t>l rey se ha servido nombrar para una ración vacante en la catedral de Durango, por fallecimiento de D. Fernando Cortes, á D. Josef Rafael Lavarrieta; y para la media- ración que dexa á D. Pedro Millan, cura del pueblo de Canatlan, en aquel obispado. S. M. se ha servido nombrar para el empleo de te</t>
  </si>
  <si>
    <t>Cortes, Gregorio</t>
  </si>
  <si>
    <t>Gregorio Cortes</t>
  </si>
  <si>
    <t>al: á D. Francisco Xavier Berne para otra de la de Pina, en la misma diócesi , por fallecimiento de D. Gregorio Cortes: á D. Pedro Artajona para otra ración patrimonial de la parroquial de Fuen-¿ tes de Ebro, en dicha diócesi; y á D. Félix Pintor y Sarri para un beneficio residencial, baxo la invo</t>
  </si>
  <si>
    <t>Cortine, Rafael</t>
  </si>
  <si>
    <t>Rafael Cortine</t>
  </si>
  <si>
    <t>eder en el regimiento de infantería de voluntarios de Canilla tenencia al subteniente de granaderos D. Rafael Cortine?. Desde el dia i.° del corriente hasta el ultimo de enero próximo se reno* varán en la tesorería de la real caxa de consolidación los vales dinero de 600, 300 y 150 pesos de la cr</t>
  </si>
  <si>
    <t>Cosgaya, Vicente</t>
  </si>
  <si>
    <t>Vicente Cosgaya</t>
  </si>
  <si>
    <t>l segundo D. Tomas Merino. En la clase de rudimentos de gramática castellana y latina, del cargo de D. Vicente Cosgaya, D. Josef Chacón el primero, D. Antonio Golfín el segundo. En la de sintaxis, propiedad y prosodia, del cargo de D. Antonio Salas, D. Francisco Melgarejo el primero, D. Josef Vied</t>
  </si>
  <si>
    <t>Cosío, Diego</t>
  </si>
  <si>
    <t>Diego Cosío</t>
  </si>
  <si>
    <t>particular cuidado de la sociedad,en dos cortas oraciones, con la gratulatoria que pronunció el Sr. D. Diego Cosío, alternando la música en todos estos actos, se concluyó la junta, que fue solemnizada con un numeroso y lucido concurso. [Seconcluirá.) Madrid 2 8 de julio, S. M. se ha servido no</t>
  </si>
  <si>
    <t>Cosme Rodríguez</t>
  </si>
  <si>
    <t>acion titulada de San Marcelo, que en la catedral de León'ha resultado vacante por fallecimiento de D. Cosme Rodríguez, á D. Francisco Paula Perez, Capellán del regimiento de infantería de Málaga. El Rey se ha servido conferir la Sargentía mayor del regimiento de infantería de Aragón al Capitán de</t>
  </si>
  <si>
    <t>Cosme, Andrés</t>
  </si>
  <si>
    <t>Andrés Cosme</t>
  </si>
  <si>
    <t>Fita, inquisidor honorario de Córdoba, el Dr. Fr. D. Joaquín Centelles, de la orden de San Juan, y D. Andrés Cosme: consiliarios seculares el Sr. Marques de Valera , ei Sr. D. Gaspar Morera, y el S*\ D. Mariano de Exea: secretario i.° D. Luis Valcedo, i.° D. Antonio Guijarro: procurador D. Gas</t>
  </si>
  <si>
    <t>Costa, Andrés</t>
  </si>
  <si>
    <t>Andrés Costa</t>
  </si>
  <si>
    <t>o Brias Aguilera y Ulloa, D. Josef Betbecé Llano y Marroco, D. Fulgencio de Toro Suarez y Figueroa, D. Andrés Costa y, Mut, D- Manuel Guillelmi Valeñzuela y Andrada, D. Juan Perez Dávila Cabredo y XiVnenez, D. Antonio Primó dé Ribera Oítiz de Pinedo, D. Agustín Alcalá Galiano Arias y Vargas, Don</t>
  </si>
  <si>
    <t>Costales, Francisco</t>
  </si>
  <si>
    <t>Francisco Costales</t>
  </si>
  <si>
    <t>Supl., p. 2</t>
  </si>
  <si>
    <t>Licenc. 118 ... 10. Francisco' Costales ..• de Francisco.• Vil!aviciosa en Asturias. 1796•. Inválid. 85 ..·· g. FranciscoBarrachiria. de Felipe ....... Viver de MoreHa ......... 1797..</t>
  </si>
  <si>
    <t>Costales, Pablo</t>
  </si>
  <si>
    <t>Pablo Costales</t>
  </si>
  <si>
    <t>Teodoro Guevara , y al soldado ommguido D. Manuel Nieto; y á Portaguiones á D. Josef Ramón Barrera, D. Pablo Costales, D. Juaif de Mata Soberrón y D. Manuél Osores, los quatro últimos soldados distinguidos del mismo cuerpo; y.á subteniente veterano y comandante de la partida de asamblea de lea á</t>
  </si>
  <si>
    <t>Costé</t>
  </si>
  <si>
    <t>ños del Peral, y en el puesto del diario, calle de Toledo. Tratado práctico de la gota, escrito por Mr. Costé, y traducido por D.Ramón Tomé. Se hallará en la librería de González, palle de. Atocha, frente á la casa d« los Gremios. . : Estampa de marca mayor que representa ¿ nuestro august</t>
  </si>
  <si>
    <t>Coudougnan, Antonio</t>
  </si>
  <si>
    <t>Antonio Coudougnan</t>
  </si>
  <si>
    <t>de Vilmont , graduado de Teniente Coronel., .y D. Joaquín de Chorno : á -Capitanes á les Tenientes D. Antonio Coudougnan, de granaderos,D. Bartolomé Pellerin, D. Ignacio Fernandez de Velasco, Ayudante mavor ^graduado de Capitán , D. Rafael Croqutr y D. Jóséf Cortes, ambos de granaderos ; á Ayudante</t>
  </si>
  <si>
    <t>Cousin Despreaux, Luis</t>
  </si>
  <si>
    <t>Luis Cousin Despreaux</t>
  </si>
  <si>
    <t>r. C. C. Sturm, dadas á luz metódicamenteen francés con ef título de Lecciones de la naturaleza por Mr. Luis Cousin Despreaux, y traducidas al castellano', acudirán á recoger el tomo 2.0 á la librería de Nicasio,'Carrera de S&gt; Gerónimo ; en Toledo á la de Hernández, en Valencia á la de Mallen; én Zaragoz</t>
  </si>
  <si>
    <t>C. C. Síurm; dadas i luz metódicamente en francés, con el título de lecciones de la naturaleza, por Mr. Luis Cousin Despreaux, y traducidas al castellano, acudirán 4 recoger el tomo 4.0 á la librería de Nicasio, carrera de S. Gerónimo; en Toledo á la de Hernández, en Valencia á la de Mallen, en Zaragoza,</t>
  </si>
  <si>
    <t>. C. C. Sturm, dadas á luz metódicamente en francés con el título de Lecciones de la naturaleza por Mr. Luis Cousin Despreaux, y traducidas al castellano, acudirán á recoger el tomo 5.0 á la librería de Fermín Nicasio, carrera de S. Gerónimo; en Toledo á la de Hernández, en Valencia á la de Mallen, en Za</t>
  </si>
  <si>
    <t>Cousin Despréauxy, Luis</t>
  </si>
  <si>
    <t>Luis Cousin Despréauxy</t>
  </si>
  <si>
    <t>. C. C. Sturm; dadas á luz metódicamente en francés con el título de Lecciones de la naturaleza por Mr. Luis Cousin Despréauxy y traducidas al castellana, acudirán á recoger el tomo g.° á la librería de Nicasio, carrera de S. Gerónimo; en Toledo á la de Hernández,, en Valencia á la de Mallen, en Zaragoza á</t>
  </si>
  <si>
    <t>Covian, Ramón</t>
  </si>
  <si>
    <t>Ramón Covian</t>
  </si>
  <si>
    <t>que leyó el primer maestro director D. Cayetano Fernandez Villamil. Fueron examinados en aritmética D. Ramón Covian, D. Antonio Ruftao Blanco, D. Josef Montes , D. Josef Luanco, D. Matías Espantoso» D. Andrés González Diez, D. Gaspar de Soto y Parga, D. Ramón Abad» D. Josef Jenér, D. Angel Seli</t>
  </si>
  <si>
    <t>Cradock, Juan</t>
  </si>
  <si>
    <t>Juan Cradock</t>
  </si>
  <si>
    <t>algunos meses. Se dice que lord Lake saldrá para Inglaterra con la esquadra en el mes de Setiembre. Sir Juan Cradock se dispone á partir para Bengala en calidad de comandante en gefe , cuyo ascenso dexa vacante uno de los principales empleos de la costa, el qual desdamos ardientemente ver ocupad</t>
  </si>
  <si>
    <t>Craiwinckel, Manuel</t>
  </si>
  <si>
    <t>Manuel Craiwinckel</t>
  </si>
  <si>
    <t>xércitos á los brigadieres D. Juan Alvarez de Faria, ayudante del real cuerpo de guardias de Corps; D. Manuel Craiwinckel, sargento mayor del regimiento de reales guardias Valonas; y D. Ramón de Villalba, inspector general de la caballería ligera. El Rey se ha servido nombrar para el corregimiento de</t>
  </si>
  <si>
    <t>Crespo, Pedro Antonio</t>
  </si>
  <si>
    <t>Pedro Antonio Crespo</t>
  </si>
  <si>
    <t>ón á la de su marido y del boticario. D. Bartolomé Aguilera, vecino de Marmolejo, cerca de Andújar. Don Pedro Antonio Crespo, vecino de Noblejas. El señor duque de Sorrentino y marques de Salinas, incansable promovedor de varhs prácticas de la agricultura moderna. El señor Navarrete, comisario de Marina</t>
  </si>
  <si>
    <t>Crespo, Pedro Tomás</t>
  </si>
  <si>
    <t>Pedro Tomás Crespo</t>
  </si>
  <si>
    <t>gona, por promoción de X). Pablo Domingo y Avnau á la canongía doctoral de aquella misma iglesia: á D Pedro Tomas Crespo para otro beneficio titulado sacristía de la parroquia de Luna, diócesi de Zaragoza, vacante por promoción de D. Bernardo Sánchez Hidalgo á una capellanía real de la ciudad de Bor</t>
  </si>
  <si>
    <t>Cretet</t>
  </si>
  <si>
    <t>, vice-presidente, secretarios y otros empleos. El 23 estuvo el cuerpo á cumplimentar 1 S. M. El 24 Mr. Cretet, ministro del Interior, acompañado de dos consejeros de Estado, se presentó en la sala del cuerpo legislativo , y leyó de orden de S. M. una larga exposición de la situación del i</t>
  </si>
  <si>
    <t>Criado, Ignacio Juan</t>
  </si>
  <si>
    <t>Ignacio Juan Criado</t>
  </si>
  <si>
    <t>ción del lugar de Masueco, en la diócesis de Salamanca, Vacante por muerte de D. Francisco Yañez, á D. Ignacio Juan Criado ; y para una capellanía de la real capilla de S. Fernando, sita en la metropolitana de Sevilla , vacante por fallecimiento de D. Pedro Alvarez de Estrada, á D. Josef Antonio Rius</t>
  </si>
  <si>
    <t>Crisóstomo Abadía, Juan</t>
  </si>
  <si>
    <t>Juan Crisóstomo Abadía</t>
  </si>
  <si>
    <t>0 dixeron los socios D. Francisco Xavier Vales Asen jo, canónigo de la real iglesia de S. Isidro, y D. Juan Crisóstomo Abadía, clérigo reglar de S. Cayetano. — Discurso que en la junta de 30 de diciembre del mismo pronunció el Excmo. Sr. Conde de Miranda, director de dicha asociación. — Otro que’&lt;en la d</t>
  </si>
  <si>
    <t>Cristian Riedy, Andrés</t>
  </si>
  <si>
    <t>Andrés Cristian Riedy</t>
  </si>
  <si>
    <t>ubteniente de granaderos al de fusileros D. Juan Hellerbach, y ¿ subteniente de fusileros al cadete D. Andrés Cristian Riedy. En consideración á los buenos servicios de D. Joaquín Jaidero se ha tervido S. M. concederle los honores de tesorero de exército. £n América. El Rey se ha servido nombrar para la</t>
  </si>
  <si>
    <t>Cristiano de Schleswig-Holstein-Augustembourg, Príncipe</t>
  </si>
  <si>
    <t>Príncipe Cristiano de Schleswig-Holstein-Augustembourg</t>
  </si>
  <si>
    <t>rovisional de gobierno para el reyno de Noruega, la qual residirá en Cristiania, y se compondrá del Príncipe Cristiano de Schleswig-Holstein-Augustembourg, del conde Gebhard-Mohke, y del consejero de Estado Falsea. A pesar de la vigilancia con que guardan el gran Belt los ingleses, no es imposible tener comunicación con la isla de Z</t>
  </si>
  <si>
    <t>Cristiano Federico, Príncipe</t>
  </si>
  <si>
    <t>Príncipe Cristiano Federico</t>
  </si>
  <si>
    <t>eredero Federico, de 72 : Noruega, de 6‘á: Seiren , Princesa Luisa Augusta, y Dithmarschen , de 64: Príncipe Cristiano Federico, y Princesa Carolina» de 60. Diez y seis fragatas armadas ccn muchas carenadas y obuses, ademas de los cañones que se expresan. Iris, de 42 cañones: Freja y Havfruen, de 40: Perla</t>
  </si>
  <si>
    <t>intención de escarmentar al enemigo si se atreve á efectuar algún desembarco. El navio de línea el Príncipe Cristiano Federico, mandado por el capitán Je'scn, que estaba apostado en la rada de Christiansand ,y se defendió tan gloriosamente de la división inglesa del conmodoro StafFord , recibió orden de i</t>
  </si>
  <si>
    <t>Cristóbal Blasco</t>
  </si>
  <si>
    <t>nte D. Josef de Fuentes; tenencia al alférez D. Miguel Rajart; empleo de alférez al portaestandarte D. Cristóbal Blasco; y esta resulta ai cadete D. Felipe Coll y Lianza: finalmente se ha dignado S. M. conceder empleo de portaestandarte en el de Montesa al Cadete D. Manuel Astraudi; y en el de drag</t>
  </si>
  <si>
    <t>Cristóbal Chispera</t>
  </si>
  <si>
    <t>pañía de caballería de Ceuta; y en el de Ñapóles al sargento primero de granaderos del mismo cuerpo D. Cristóbal Chispera. En el real cuerpo de Artillería ha tenido á bien S. M. promover á teniente al subteniente D. Joaquín Aguado. En América. El rey se ha dignado conferir el gobierno militar y polít</t>
  </si>
  <si>
    <t>Cristóbal de Avila</t>
  </si>
  <si>
    <t>en 57,860 rs. Quien quisiere hacer postura acuda á la escribanía de la misma comisión, que despacha D. Cristóbal de Avila. AVISO. Se halla vacante la plaza de maestro de primeras letras déla villa de Matapozuelot, provincia de Valladolid: su dotación anual es 100 ducados, pagados de los propios, 600</t>
  </si>
  <si>
    <t>Cristóbal de Vicuña</t>
  </si>
  <si>
    <t>,220 rs. Quien qukierc hacer postura, acuda ante el referido señor, por la escribanía del número de D. Cristóbal de Vicuña. A la casa sita en la calle del Lobo de esta corte, núm. 9, manz. ¿£4, se ha hecho postura en el todo de su tasa á vales reales, que es la cantidad ce 598,404 rs. 2.4 mrs., la qua</t>
  </si>
  <si>
    <t>Cristóbal Fernández Serrano, Juan</t>
  </si>
  <si>
    <t>Juan Cristóbal Fernández Serrano</t>
  </si>
  <si>
    <t>canongía vacante en la colegial dei Salvador, de Sevilla, por muerte de D. Diego Ramos de Rueda, á D. Juan Cristóbal Fernandez Serrano: para la capellanía real de la catedral de Canaria , vacante por promoción de D. Josef Romero Franchi á ración de la propia iglesia, á D. Gregorio Henriquez y Navarro, pro-eapella</t>
  </si>
  <si>
    <t>Cristóbal Frontín</t>
  </si>
  <si>
    <t>ir compañía en el regimiento de dragones de Pavía al ayudante D Rafael Mauduit; tenencia al alférez D. Cristóbal Frontín; empleo de alférez al portaguión D. Josef Lemos, y esta resulta á D. Antonio de Castro y Aguirre, cadete del de reales Guardias españolas. El día 12 de marzo próximo pasado fallec</t>
  </si>
  <si>
    <t>Cristóbal García</t>
  </si>
  <si>
    <t>, *059 al de Doña Mam Josefa Vázquez y Adorna, 2060 al de D. Francisco MartinezSisniega, 2061 al.de D. Cristóbal García, 2o6z al. de D. Francisco Martínez de Cisne**</t>
  </si>
  <si>
    <t>Cristóbal Krucker</t>
  </si>
  <si>
    <t>el de Reding, n. 2.0, á teniente de granaderos al de fusileros D. Cristóbal Stofiel: esta resulta á D. Cristóbal Krucker* En el de Reding, 0.3.°,á subteniente de granaderos al de fusileros D.Da* mian Bossart. En el batallón de infantería de Canarias ha promovido S. M. á capitán de granaderos al de f</t>
  </si>
  <si>
    <t>Cristóbal Ochoa</t>
  </si>
  <si>
    <t>al teniente de g anaderos D. Vicente Hernández, y en el de Guadalaxara tenencias á los subtenientes D. Cristóbal Ochoa y D. Eugenio Ibanez, y subtenencias de bandera al cadete D. Juan Pablo Demblans, y al sargento primero de granaderos D. Marcos Furriel. En atención á los méritos y* circunstancias de</t>
  </si>
  <si>
    <t>Cristóbal Padilla</t>
  </si>
  <si>
    <t>e él mismo había compuesto para uso de las escuelas del país.__ En el dia i.° disertó el presbítero D. Cristóbal Padilla, vice-rector de dicho seminario conciliar, sobre la agricultura en general, necesidad de su mejora, tanto para la felicidad de los pueblos, como para la prosperidad del comercio;,</t>
  </si>
  <si>
    <t>Cristóbal Pomar</t>
  </si>
  <si>
    <t>o de artillería á teniente coronel al capitán D. Francisco del Pino; y á capitán al capitán segundo D. Cristóbal Pomar.</t>
  </si>
  <si>
    <t>Cristóbal Stofiel</t>
  </si>
  <si>
    <t>nte al cadete D. Josef Cabrinety. En el de Reding, n. 2.0, á teniente de granaderos al de fusileros D. Cristóbal Stofiel: esta resulta á D. Cristóbal Krucker* En el de Reding, 0.3.°,á subteniente de granaderos al de fusileros D.Da* mian Bossart. En el batallón de infantería de Canarias ha promovido</t>
  </si>
  <si>
    <t>Cristóphe, General</t>
  </si>
  <si>
    <t>General Cristóphe</t>
  </si>
  <si>
    <t>que ha habí lo una revolución en Fuérte-pelfimy' de resultas de desavenencias entre Dessalines y su General Cristóphe, y que aprovechándose de la ocasión los habitantes Espa</t>
  </si>
  <si>
    <t>Croqutr, Rafael</t>
  </si>
  <si>
    <t>Rafael Croqutr</t>
  </si>
  <si>
    <t>deros,D. Bartolomé Pellerin, D. Ignacio Fernandez de Velasco, Ayudante mavor ^graduado de Capitán , D. Rafael Croqutr y D. Jóséf Cortes, ambos de granaderos ; á Ayudante mayor al Teniente D. Antonio Gayarre; á Tenientes de granaderos i Jos de fusileros D. Fran.isco Guerrero, D. Juan Mier y Teran y D.</t>
  </si>
  <si>
    <t>Cros, Juan</t>
  </si>
  <si>
    <t>Juan Cros</t>
  </si>
  <si>
    <t>Alberto Adell, del orden de San Juan, y D. Vicente Marques; y celadores de las obras de los presos D. Juan Cros, D. Manuel Muñoz, D. Francisco BoschyD. Joaquín Puchalt. Concluí Ja la elección se dio cuenta de los socios que han fallecido el año pasado 180Ó, y sé trataron otros varios puntos</t>
  </si>
  <si>
    <t>Croselles, Manuel</t>
  </si>
  <si>
    <t>Manuel Croselles</t>
  </si>
  <si>
    <t>io. Cedieron la parte pecuniaria del premio D. Josef Escriba, D. Andrés del Val, D. Joaquín Fusell, D. Manuel Croselles, D. Juan Ribera Colechá, Doña María Vecino, Doña Manuela Taraneo, Doña Rafaela Bordenove y Doña Franca Ximenez. Continuóse publicando la adjudicación de .6 proemios ofrecidos á la</t>
  </si>
  <si>
    <t>Cruselias, Pedro</t>
  </si>
  <si>
    <t>Pedro Cruselias</t>
  </si>
  <si>
    <t>por la escribanía de la misma comisión, que desempeña D. Gabriel Josef Martínez. Por providencia de D. Pedro Cruselias, subdelegado para la venta de bienes eclesiásticos en la diócesi de Zaragoza, se ha mandado sacar á pública subasta «na heredad en huerta sita en los términos del lugar de Albalat</t>
  </si>
  <si>
    <t>Cruz Mayor, Carlos</t>
  </si>
  <si>
    <t>Carlos Cruz Mayor</t>
  </si>
  <si>
    <t>argo de D. Celestino Mendoza, el primer premio en la clase de lectura D. Vicente Llanes, el segundo D. Cárlos Cruz Mayor: en la dé escritura el primero D. Pedro Mantilla, el segundo D. Tomas Merino. En la clase de rudimentos de gramática castellana y latina, del cargo de D. Vicente Cosgaya, D. Josef</t>
  </si>
  <si>
    <t>Cubilias, Francisco</t>
  </si>
  <si>
    <t>Francisco Cubilias</t>
  </si>
  <si>
    <t>s entretenimientos espirituales; y otras obras pequeñas del mismo santo, traducidas del francés por D. Francisco Cubilias, presbítero: 2 tomos en 4.0 Se venden en las librerías de esta corte. Impugnación físico-moral á los desafíos, dedicada á la memoria de Miguel de Cervántes, y publicada por D. Lun</t>
  </si>
  <si>
    <t>Cuervo, Nicolás</t>
  </si>
  <si>
    <t>Nicolás Cuervo</t>
  </si>
  <si>
    <t>rera: para la ración que este dexa á D. Manuel Agu-.tin de Guinea, y para la media ración de este á D. Nicolás Cuervo: p2ra otra canongía'de Puerto-Rico, vacante también por fallecimiento de D. Sebastian Conde, á D. Joaquín Valentín de Urquizo, y para la radon de esteá Don Josef Antonio de Ezpele</t>
  </si>
  <si>
    <t>Culebras, Antonio</t>
  </si>
  <si>
    <t>Antonio Culebras</t>
  </si>
  <si>
    <t>mala, en el batallón de Cartago á D. Lázaro Pablos; y en los escuadrones de dragones de S. Miguel á D. Antonio Culebras, de Yoro á D. Juan Dengo, de Sonsonate á D. Gregorio Royo, de Nueva-Segovia á D. Francisco Texedor, todos sargentos primeros veteranos de los mismos cuerpos. S. M. se ha servido c</t>
  </si>
  <si>
    <t>Cunaeus, Pedro</t>
  </si>
  <si>
    <t>Pedro Cunaeus</t>
  </si>
  <si>
    <t>halla de la, diligencia y actividad de la guardia naeicnal de Leida eR esta ocasiog , ha nombrado á Mr. Pedro Cunaeus,Teniente Coronel Comandante de dicha guardia, caballero de la real orden del Mérito. .V ,. pramciáif ■ y y - - ; . * ¡Parts 23 de Enero. DIARIO QUADRAGE9IMONONO DEL EXERCJTO GRAND</t>
  </si>
  <si>
    <t>Curos, Miguel</t>
  </si>
  <si>
    <t>Miguel Curos</t>
  </si>
  <si>
    <t>segundo* de 200 rs. vn., por los países de marina y ñores coloridas: el tercero, de 150 rs. vn,, á D. Miguel Curos, por algunos grupos de flores también coloridas. El primer premio de arquitectura, de 200 rs., se adjudicó á Pedro Beltran, por el dibuxo que presentó de la decoración de la facha</t>
  </si>
  <si>
    <t>Cúseme, Ignacio</t>
  </si>
  <si>
    <t>Ignacio Cúseme</t>
  </si>
  <si>
    <t>tente de la ciudad de Sevilla: á D. Juan Bober para la-de teniente tercero de la propia ciudad; y á D. Ignacio Cúseme para la vara de alcalde mayor de la villa de Huercal Obera-----S. M. ha venido en aprobar la permuta que Iti han propuesto D. Pedro/Sinjó y López de;Haro , alcaide del crimen de:l</t>
  </si>
  <si>
    <t>Czerni- Jorge, General</t>
  </si>
  <si>
    <t>General Czerni- Jorge</t>
  </si>
  <si>
    <t>que a las 9de la noche tuvo que cesar el de los musulmanes. El 22 Kusanzi Ali envió un diputado al General Czerni- Jorge pidiendo capitulación. Sabemos que los turcos se rindiéron el 24 de diciembre. He aquí los principales artículos de iá capitulación: i.° La ciudadela se entregará á los servios el</t>
  </si>
  <si>
    <t>da Veyga y Andrade, Juan</t>
  </si>
  <si>
    <t>Juan da Veyga y Andrade</t>
  </si>
  <si>
    <t>vales reales de r 50 pesos, 'creados de i.° de enero, núms. 331334 y 33290.8 , endosados á favor de D. Juan da Veyga y Andrade. Quien supiere de su paradero se servirá avisar á qualquiera de los referidos sugetos. Por resultas de causa que en el juzgado del crimen y policía de la ciudad de Cádiz, y por la</t>
  </si>
  <si>
    <t>Daban y Urrutia, Manuel</t>
  </si>
  <si>
    <t>Manuel Daban y Urrutia</t>
  </si>
  <si>
    <t>uel Montemayor. S. M. se ha servido conferir el gobierno militar y político de la plaza de Tarifa á D. Manuel Daban y Urrutia, capitán del regimiento de infantería del Príncipe , y la tenencia de Rey de la plaza de S. Sebastian á Don Josef de Aguirre, coronel agregado al estado mayor de la plaza de Carta</t>
  </si>
  <si>
    <t>Daendels, General</t>
  </si>
  <si>
    <t>General Daendels</t>
  </si>
  <si>
    <t>voluntariamente los Hesseses y los Prusianos. Este ouerpo ascenderá á 12© hombres, y lo mandará el General Daendels. El General de BonhommeGobernador de Oost-Frisia, dirigió el 6 del (1) En el Corresponsal de Hamburgo del 19 de Diciembre se dice que los men-. clonados capitales ascienden solo á</t>
  </si>
  <si>
    <t>l general de la Guardia, ai Almirante Hasting, Coro'ei general de Granaderos Reales de Marina, y al General Daendels, Coronel general de la Caballería. Por el mismo decreto se concede el grado de Mariscales de H Ianda á los Tenientes Generales retirados Mrs. van-Ringsbergen y van- Zuyien. vanNye</t>
  </si>
  <si>
    <t>Dalesme, Pedro</t>
  </si>
  <si>
    <t>Pedro Dalesme</t>
  </si>
  <si>
    <t>ento primero de granaderos D. Juan Caja!; y en el de Hibernia tenencia al subteniente de granaderos D. Pedro Dalesme. Asimismo se ha servido S. M. conceder en el regimiento de infantería de Córdoba subtenencia de bandera al sargento primero de granaderos D. Bernardo Guidet. El Rey se ha servido</t>
  </si>
  <si>
    <t>Dalhmann, Coronel</t>
  </si>
  <si>
    <t>Coronel Dalhmann</t>
  </si>
  <si>
    <t>esta coluna, que aun no había pasado, lo verificaba por mas arriba. El Gran Duque de Berg mandó al Coronel Dalhmann que la acometiese con los cazadores de la guardia, como lo^ hizo, tomando tres piezas de-artillería, y desbaratando muchos esquadrones. . , , . !V ; Mientras que la Coluna, que eh</t>
  </si>
  <si>
    <t>Dámaso Calvo</t>
  </si>
  <si>
    <t>para el préstamo de Torredefrades, en él obispado de Zamora, vacante por haber contraído matrimonio D. Dámaso Calvo, á D. Fernando María Pantoja, del orden de Alcántara,. capellán de honor de la real capilla; y para la prestamera del lugar de Belmontejo, anexo de la villa c iglesia de S. Lorenz</t>
  </si>
  <si>
    <t>Dámaso Torrecilla, Antonio</t>
  </si>
  <si>
    <t>Antonio Dámaso Torrecilla</t>
  </si>
  <si>
    <t>ar un buen profesor en el arre de curar. En cumplimiento pues de dhha providencia la han verificado D. Antonio Dámaso Torrecilla, D. Agustín Frutos y D. Josef Valero; el primero, médico de número de los mismos hospitales, y catedrático por S. M.; el segundo, cirujano de número de ellos, y demostrador públic</t>
  </si>
  <si>
    <t>Damian Celestino de la Vega</t>
  </si>
  <si>
    <t>rs. Quien¡ quisiere comprarla acuda ante el Sr. Intendente de esta provincia, por la escribanía de D. Damian Celestino de la Vega, dentro del térmiro de 30 dias contados desde 22 del presente. Por providencia del Real Tribunal del Consulado de comercio de Cádiz, y escribanía de D. Melchor Nicolás Trdxillo,ís</t>
  </si>
  <si>
    <t>Damián Celestino de Vega</t>
  </si>
  <si>
    <t>396 cnbanía ie la intendencia del cargo de D. Damián Celestino de Vega, dentro del término de 30 dias contados desde el i.° del presente. AVISOS. Para el remate en esta corte de los frutos y rentas de la encomienda de Adelfa, orden de Alcántara, que</t>
  </si>
  <si>
    <t>Damian Celestino de Vega</t>
  </si>
  <si>
    <t>, tasadas cada una á 4 rs., acuda $nte el señor intendente de esta provincia y por la escribanía de D. Damian Celestino de Vega, en el término de ig dias contados desde 9 del corriente.; con prevención de que el último se señala para el remate de ellas en la audiencia del Sr. D. Torquato Antonio Collado, t</t>
  </si>
  <si>
    <t>Damian Gon</t>
  </si>
  <si>
    <t>V. P-jD. Lorenzo Escúpoli, del orden de los padres clérigos reglares de S. Cayetano, traducido por D. Damian Gon zalez del Cueto, y reducido á Ja pureza del original en esta última impresión por el P- D. Ramón de Guñincl, d:l mismo orden : 2 tomos en 8.° con 5 láminas riñas. Véndense en la l</t>
  </si>
  <si>
    <t>Damian Martínez Cepeda</t>
  </si>
  <si>
    <t>io én dicha ciudad de Toledo , por ia:¡escribanía qué éxerce D. Lorenzo Montero. Por providencia de D. Damian Martínez Cepeda , subdelegado parada venta de bienes eclesiásticos en varios .pueblos del priorato de Santiago de Uclés , residente en la villa de la Puebla de D. Fadrique , se han mandado sacar</t>
  </si>
  <si>
    <t>Dana</t>
  </si>
  <si>
    <t>ue vuelva:á entablar las negociaciones, que se habían suspendido, con el intendente general francés Mr. Dana, y se execuiten con algunas modificaciones lot artículos que este habla propuesto. Una de las gazetas de esta ciudad contiene el artículo siguiente: Las seis casas de comercio , q</t>
  </si>
  <si>
    <t>Daniel Traveria</t>
  </si>
  <si>
    <t>ecimiento de D. Joaquín Agramuntell, y la otra por haber pasado con destino á la catedral de Toledo D. Daniel Traveria, á Don Fermín Latre, sorchantre de la catedral de Barbastro, y á D. Juan Bautista Tárrega, tenor de la de Tarazona. El rey se ha servido nombrar coronel del regimiento de infanter</t>
  </si>
  <si>
    <t>Dardon, Tomás</t>
  </si>
  <si>
    <t>Tomás Dardon</t>
  </si>
  <si>
    <t>isciplinadas de Goatemala á cor ronel y teniente coronel del batallón de Chiquimula á los capitanes Don Tomas Dardon y D. Josef Mariano Morales ; á teniente coronel del batallón de Olancho al capitán D. Josef Tomas Gameros; á capitán en el de Cartago al teniente de granaderos D. Salvador Oreamuno, á</t>
  </si>
  <si>
    <t>Daru</t>
  </si>
  <si>
    <t>icha ciudad, y los manuscritos preciosos que habia en Wolfenbutel, los conducen á París de orden de Mr. Daru, Intendente de los Estados de Brunswick, y de los Principados de ILdberstad y de Hildesheim. Entre el número de los manuscritos destinados á la Biblioteca Imperial se hallan los 4</t>
  </si>
  <si>
    <t>Daujon</t>
  </si>
  <si>
    <t>adama Cheron, y de los profesores y discípulos de la escuela de medicina, una máquina inventada por Mr. Daujon para mudar de cama y de sitio á los enfermos y heridos sin incomodar</t>
  </si>
  <si>
    <t>Daultanne, General</t>
  </si>
  <si>
    <t>General Daultanne</t>
  </si>
  <si>
    <t>con la de Gazan en segunda,, y con la división Gudin del tercer cuerpo del exército mandada por el General Daultanne sobre su izquierda. El combate fué vivo, y al cabo de varios choques quedó derrotado el enemigo. Se han cubierto de gloria el 17.0 regimiento de infantería ligera y el 34.0; han q</t>
  </si>
  <si>
    <t>David Baird</t>
  </si>
  <si>
    <t>uista, yo soy uno de los, que han pedido sé prive de los mandos que obtienen á Sir Home-Popham, y á Sir David Baird, por haber emprendido esta expedición sin tener órdenes para ello. Su conducta destruye toda subordinación. ¿Adonde iríamos á parar si los Gobernadores de nuestras colonias se die</t>
  </si>
  <si>
    <t>1805 al mismo Sir He pham para que enviase á la India los transportes necesarios para 11 tropas que Sir David Baird debía hacer pasar allánen el caso de que cendiese una nueva guerra contra Scindiah y el rajah de Berar,com&lt; motivos de temer. Entonces el mismo Popham debia pasar á la India . se men</t>
  </si>
  <si>
    <t>a conquista sería de la mayor utilidad para la Inglaterra: que había hecho entrar en esta empresa a Sir David Baird, el qual se había determinado en vista de las ventajas que ofrecía,»y le daba una parte de las tropas empleadas en la conquista del Cabo, las quales estaban ya embarcadas al mando</t>
  </si>
  <si>
    <t>ocasionado largos y vivos debates, al cabo de los quales ha sido desechada por 171 votos contra 90. Sir David Baird ha vuelto del cabo de Buena Esperanza. Ayer se publicó de oficio la relación que sigue: » Almirantazgo 14 de mbriL Ésta mañana se han recibido pliegos del lord Collingwoód, coa fe</t>
  </si>
  <si>
    <t>ro inmenso de transportes. Se asegura que al pronto saldrá solo uncuerpo de 10© hombres mandado por Sir David Baird. En Chatham se están construyendo 9 navios de línea, entre ellos eL Hqtvc de 120 cañones, el Trafalgar de 98, el Viga y el Aboukir de 74, ademas, dé: 8 fragatas, y 7 entre.corbeta</t>
  </si>
  <si>
    <t>r la primera división, compuesta enteramente de tropas alemanas que están en Deal, á las órdenes de Sir David Baird. A Márgate llegan continuamente transportes, pero no se embarcan tropas. Por eicontrario, continúan embarcándose las de Ransgate; y si es cierto, como parece, que van destinadas á</t>
  </si>
  <si>
    <t>os que han llegado de Zelandia quedaba enfermo, el lord Cathcart, y daba mucho cuidado la herida de Sir David Baird. Los pliegos del almirante Gambier, con fecha del 14 del corriente» dicen que el Valdemafo, navio dinamarqués de.q,4 cañones, debía salir del puerto aquel mismo dia, y hacerse á l</t>
  </si>
  <si>
    <t>Dávila, Alonso</t>
  </si>
  <si>
    <t>Alonso Dávila</t>
  </si>
  <si>
    <t>rado S. M. teniente en el regimiento de milicias disciplinadas de caballería de la expresada isla á D. Alonso Dávila, alférez de carabineros del mismo cuerpo; y para sus resultas á Don Atanasi© Quadra y D. Ramón de Matos, alférez y cadete del propio regimiento. Atendiendo el Sermo. Sr. Príncipe</t>
  </si>
  <si>
    <t>Dávila, Manuel</t>
  </si>
  <si>
    <t>Manuel Dávila</t>
  </si>
  <si>
    <t>do emplazar, por término de 30 dias contados desde el 5 del corriente, á los iégitimos herederos de D. Manuel Dávila , vecino que fué de esta córte, para que dentro de dicho término se presenten ante dicho Señor y escribanía de D. Mauricio Justo del Rincón por sí, ó con poder bastante en favor d</t>
  </si>
  <si>
    <t>alcalde de casa y corte, se ha mandado emplazar nuevamente por término de 15días á los herederos de D. Manuel Dávila, vecino que fue de esta corte, para que se presenten dentro de él ante dicho señor por la escribanía de D. Mauricio Justo del Rincón, por sí ó con poder á favor de procuradores de</t>
  </si>
  <si>
    <t>Davoust, Mariscal</t>
  </si>
  <si>
    <t>Mariscal Davoust</t>
  </si>
  <si>
    <t>llegan hasta Strasburg. ; El ii, alas seis déla mañana, se oyó un cañoneo hacia el lado del Bug. El Mariscal Davoust había hecho que pasase este rio el General, de Brigada Gaüthier, en donde desemboca el Wrka, en frente de la aldea ^de Okunin. Habiendo pasado los Regimientos n. 25 y 89 de línea</t>
  </si>
  <si>
    <t>a de caballería ligera de la reserva tiene diariamente escaramuzas con la caballería Rusa. El 18 el Mariscal Davoust conoció la necesidad de apoderarse de una foleta situada en el embocadero del Wrka, para mejorar su campamento sobre la orilla derecha. El enemigo se hizo cargo de la importancia</t>
  </si>
  <si>
    <t>ga, ’ fué el primer honor tributado á s-u memoria. * El dia 2,5 el tercer cuerpo, á las órdenes del Mariscal Davoust, marchó áTykockzin, adonde se habia retirado el enemigo. El 5.0 cuerpo, mandado por el Mariscal Lances, marchaba hácia Pultusk con la división de dragones Beker. El Emperador se d</t>
  </si>
  <si>
    <t>, .t _ El Mariscal Soult inmediato á Ciechanow. El Mariscal Augereau marchando hácia Golymin. f El Mariscal Davoust entre Golyiqin y,Pu!tusk. ; , El Mariscal Lannes en Pultusk. ( _ ,:j /■ ¿ . ; En estos dos dias hemos hecho de ,1500 a 1600 prisioneros &gt; y cor gido de 25 á 30 cañones, 3 banderas y</t>
  </si>
  <si>
    <t>ía pasó inmediatamente el Vístula por Prag, dirigiéndose al Narew, donde reunió todas sus tropas el Mariscal Davoust. El 23 á la una de la noche salió el Emperador de Varsovia, y pasó el Narew á las 9 de la mañana. Después de reconocer el Wrcka, y los fuertes atrincheramiea</t>
  </si>
  <si>
    <t>oderaba de muchos cañones. Combate de 'Nasielsk. El dia 24 la reserva de caballería y el cuerpo del Mariscal Davoust se dirigiéron á Nasielsk. La vanguardia, cuyo mando había dado el Emperador al General Rapp, encontró á una legua deNa^ieslkal enemigo. El General Lemarrois marchó con dos Regimie</t>
  </si>
  <si>
    <t>s que habían sido batidas en Nasielsk, molestadas en Su fuga por lá tercera división del cuerpo del Mariscal Davoust. A las 10 de la mañana atacó el Mariscal Lannes al, enemigo con la división Suchet en primera línea, con la de Gazan en segunda,, y con la división Gudin del tercer cuerpo del exé</t>
  </si>
  <si>
    <t>k, y 3® heridos que ha abandonado en su fuga. Dice también que peleó con el gran Duque de Berg y el Mariscal Davoust, siendo así que solo fue con la división Suchet del cuerpo del Mariscal Lannes: el regimiento 17.0 de infantería ligera, el 34.0 de línea, el 64.0 y el 88.° son los únicos regimie</t>
  </si>
  <si>
    <t>de Abrana, Juan</t>
  </si>
  <si>
    <t>Juan de Abrana</t>
  </si>
  <si>
    <t>nzá, D. Bonifacio Olivencia, D. Bernabé de Otalora , D. Juan de Mazarredo, D. Juaa Ortiz de Zarate, D. Juan de Abrana, D. Pedro Cendeja, D. Pablo Unda, el cadete de reales guardias Walonas D. Félix Gilman, D. Pablo Ferrando, cadete del regimiento de infantería de Soria, D. Manuel Entreambasaguas,</t>
  </si>
  <si>
    <t>de Acevedo, Ignacio</t>
  </si>
  <si>
    <t>Ignacio de Acevedo</t>
  </si>
  <si>
    <t>constar su derecho dentro del término prenxado, se pasará á hacer entrega de la referida cantidad á D. Ignacio de Acevedo, Doña María Manuela y Doña María del Carmen, svis hermanas, que siguen autos en el citado convento de religiosas sebre justificar la identidad de un crédito á favor suyo. Por auto</t>
  </si>
  <si>
    <t>de Achótegui, Gabriel</t>
  </si>
  <si>
    <t>Gabriel de Achótegui</t>
  </si>
  <si>
    <t>real, por fallecimiento de Don Miguel de Mendinueta y Muzquiz y de I). Josef Antonio Fita, nombro á D. Gabriel de Achótegui y D. Francisco de Arjona, fiscales del mismo tribunal; para las fiscalías que estos dexan á D. Gerónimo Antonio Diez, regente de la cbancillería de Valladolid, y á D. Nicolás de Sierr</t>
  </si>
  <si>
    <t>de Achutegui, Manuel</t>
  </si>
  <si>
    <t>Manuel de Achutegui</t>
  </si>
  <si>
    <t>imas representaciones que tuvieren derecho á sus bienes acudirán á dicho tribunal, por el oficio de D. Manuel de Achutegui, escribano real, legitimando sus personas, dentro de 6o dias de término perentorio; y no liaciéndolo Ies parará el perjuicio que haya lugar. En la villa de Montemolin,en Extremadu</t>
  </si>
  <si>
    <t>de Acosta, Antonio Basilio</t>
  </si>
  <si>
    <t>Antonio Basilio de Acosta</t>
  </si>
  <si>
    <t>cia de que está señalado el dia 25 del corriente para la celebración del remate. Por providencia de D. Antonio Basilio de Acosta, comisionado regio para la venta de bienes eclesiásticos, se está subastando un molino harinero de dos muelas, con todo el caz de piedra, con una era, pajar y 20 medias de sembrad</t>
  </si>
  <si>
    <t>laza del Pan, con accesoria en la cuesta del Rosario, núm. 10, tasado en 53,236. Por providencia de D. Antonio Basilio de Acosta, comisionado regio para la venta de bienes eclesiásticos en el obispado de Sigüenza, se están subastando ea su término 455 medias y 5 celemines de sembradura, tasadas en 87,795 rs</t>
  </si>
  <si>
    <t>de Acosta, Ignacio</t>
  </si>
  <si>
    <t>Ignacio de Acosta</t>
  </si>
  <si>
    <t>al teniente coronel D. Luis Roca y Juan, comandante del del Morro: esta resulta al teniente coronel D. Ignacio de Acosta, del del Príncipe: la que este dexa al teniente coronel D. Antonio Figueroa, del de Atarés; y esta resulta á D. Ignacio Caro, capitán agregado al regimiento de infantería de la Ha</t>
  </si>
  <si>
    <t>de Acosta, Juan</t>
  </si>
  <si>
    <t>Juan de Acosta</t>
  </si>
  <si>
    <t>ió en premio los comentarios de Julio César. Los catedráticos de matemáticas D. Sebastian .Morera y D. Juan de Acosta presentaron los jóvenes mas señalados de.las clases que están á su cargo, los quales satisficieron completamente ¿ las diversas preguntas que se les hicieron , y dieron una distin</t>
  </si>
  <si>
    <t>de Agüero, Miguel</t>
  </si>
  <si>
    <t>Miguel de Agüero</t>
  </si>
  <si>
    <t>alde de primer voto D. Martin de Alzaga, á D. Manuel Ortiz de Basualao, fiel executor, y al regidor D. Miguel de Agüero, particularmente en ocasión en que al primero le cayó una bala á los pies. El fiscal de lo civil el Sr. D. Manuel Genaro de Villota se presentó igualmente en la plaza con el mayor</t>
  </si>
  <si>
    <t>de AguiIar, Pedro</t>
  </si>
  <si>
    <t>Pedro de AguiIar</t>
  </si>
  <si>
    <t>l beneficio simple servidero del lugar de Hervas, én la diócesi de Plasencia, vacante por muerte de D. Pedro de AguiIar i áb:D. Joaquín Castan, capellán de altar de su real capilla. El rey se ha servido conferir el regimiento de infantería de la Reyna ál teniente coronel del mismo cuerpo, graduado</t>
  </si>
  <si>
    <t>de Aguilar, Juan</t>
  </si>
  <si>
    <t>Juan de Aguilar</t>
  </si>
  <si>
    <t>sco Alvarez. v Atendiendo S. M. á los distinguidos servicios del Intendente de Provin* cia graduado D. Juan de Aguilar, se ha servido nombrarle para la Intendencia de Exército y Real Hacienda de Ja isla de Cuba. Del origen dé ¡as medidas lineales de España. "Paira tratar este punto, es preciso rec</t>
  </si>
  <si>
    <t>de Aguilar, Ramón</t>
  </si>
  <si>
    <t>Ramón de Aguilar</t>
  </si>
  <si>
    <t>á D. Juan Arias con las fábulas de la Fontaine , y ademas á cada uno de los 4 una medalla de plata. D. Ramón de Aguilar recibió en premio los comentarios de Julio César. Los catedráticos de matemáticas D. Sebastian .Morera y D. Juan de Acosta presentaron los jóvenes mas señalados de.las clases que</t>
  </si>
  <si>
    <t>de Aguilera y Aguilera, Antonio</t>
  </si>
  <si>
    <t>Antonio de Aguilera y Aguilera</t>
  </si>
  <si>
    <t>gremio en esta corte.-__Asimismo se publicó que se habia dado título de socio d^ mérito literario á D. Antonio de Aguilera y Aguilera, socio que era de número cont ribuyente , autor de ia memoria que tiene por lema: Principas obsta, sero medicina paratur, sobré el medio mas fácil ó seguro de preservar los 1 livo</t>
  </si>
  <si>
    <t>de Aifaro, Estéban</t>
  </si>
  <si>
    <t>Estéban de Aifaro</t>
  </si>
  <si>
    <t>, 46 de fresnos, 183 de castáños y 5 de nogales, tasado todo en 71,061 ». 16 mrs.: la capellanía de D. Estéban de Aifaro, instituida en dicha parroquial, compuesta de una casa, 1040 posturas de tierra labrante, 659$ de baldía, 800 de campo líbre, 363 pies de manzanos, 4 de higuera, 4 de perales, uno</t>
  </si>
  <si>
    <t>de Alava, Ignacio María</t>
  </si>
  <si>
    <t>Ignacio María de Alava</t>
  </si>
  <si>
    <t>es, prestaros él juramento acostumbrado en manos de S. A. los tenientes generales de la real armada D. Ignacio María de Alava, D. Antonio de Escaño, y D. Josef Justo Sateedo; D. Luis María de Salazar, intendente general; D. Juan Peres V¡Hamil , auditor general; el gefe de esquadra D. Josef de Espinosa, s</t>
  </si>
  <si>
    <t>de Albis, Miguel</t>
  </si>
  <si>
    <t>Miguel de Albis</t>
  </si>
  <si>
    <t>de la iglesia parroquial de la misma, y especialmente al capellán que fuere de 1&amp; que fundó en ella D. Miguel de Albis,para que dentro del término de 30 dias, que se les señala por tres términos, y el último» perentorio, acudan á deducirle en dicho juzgado por la escribanía de Uria; con apercibimi</t>
  </si>
  <si>
    <t>de Albuerne, Manuel</t>
  </si>
  <si>
    <t>Manuel de Albuerne</t>
  </si>
  <si>
    <t>despacho universal de hacienda de Indias, vacante por fallecimiento de D. Pedro Antonio de Casas, á D. Manuel de Albuerne, concediendo los ascensos regulares á los demas que le siguen, y la resulta ¿ D. Rafael Morant. Asimismo en atención á los méritos y circunstancias de D. Cayetano deUrbina, intend</t>
  </si>
  <si>
    <t>de Alburquerque, Manuel</t>
  </si>
  <si>
    <t>Manuel de Alburquerque</t>
  </si>
  <si>
    <t>o Grávete, y á los sargentos primeros D. Diego Salaices y D. Juan Rosado;y de bandera á los cadetes D. Manuel de Alburquerque, D. Manuel Guerrero y D. Antonio Galluzo, y al sargento primero I). Francisco Nieto. El Rey se ha servido resolver que las juntas generales de accionistas de</t>
  </si>
  <si>
    <t>de Alcalá, Manuel Estéban</t>
  </si>
  <si>
    <t>Manuel Estéban de Alcalá</t>
  </si>
  <si>
    <t>doctoral de la catedral de Segovia ; y para la canongía de la de Sigiienza, vacante por aseen o de D. Manuel Estéban de Alcalá á la dignidad de deán de la dé Tarazona , á D. Juan Melero, capellán de coro de la real capilla.</t>
  </si>
  <si>
    <t>de Alcántara, Pedro</t>
  </si>
  <si>
    <t>Pedro de Alcántara</t>
  </si>
  <si>
    <t>l regimiento de dragones del Rejp al capitán agregado alyde la Reyna, graduado de teniente coronel, D. Pedro de Alcántara .T^Hez Girón; y empleos «de portaguión á los cadetes D, Antonio Gallego y D. Antonio Jurada. 1 En América. El rey se ha servido nombrar para la canongía penitenciaria-de ía catedr</t>
  </si>
  <si>
    <t>de Alzaga, Martín</t>
  </si>
  <si>
    <t>Martín de Alzaga</t>
  </si>
  <si>
    <t>dos, despreciando el peligro qué le rodeaba, de que advertí va i as veces al alcalde de primer voto D. Martin de Alzaga, á D. Manuel Ortiz de Basualao, fiel executor, y al regidor D. Miguel de Agüero, particularmente en ocasión en que al primero le cayó una bala á los pies. El fiscal de lo civil el</t>
  </si>
  <si>
    <t>de Amírola, Alexandro</t>
  </si>
  <si>
    <t>Alexandro de Amírola</t>
  </si>
  <si>
    <t>ribanía de D. Julián González Saez, donde se informará dé sus pormenores.- ¡ f • • •. ■ AVISOS. r ' D. Alexandro de Amírola, vecino de esta corte, ¡remitió el ig de mayo último, con clibieíta á D. Pedro Obando y D. Josef Manuel González, de Salamanca, testamentarios de D. Manuel Zahonero, dos acciones,</t>
  </si>
  <si>
    <t>de Angeville, Carlos</t>
  </si>
  <si>
    <t>Carlos de Angeville</t>
  </si>
  <si>
    <t>de la mañana del dia 14. Almagro 2 o de junio. La actividad y esmero del gobernador de esta ciudad D. Carlos de Angeville ha promovido y llevado á efecto la construcción de un cementerio correspondiente á las circunstancias de este pueblo, precediendo para ello las diligencias prevenidas en las órden</t>
  </si>
  <si>
    <t>de Ánr, Manuel</t>
  </si>
  <si>
    <t>Manuel de Ánr</t>
  </si>
  <si>
    <t>remitió D. Gregorio de Sa lazar, apoderado de D. Francisco de Valle y Hoyuelo, vecino de Madrid, á D. Manuel de Ánr guio, vecino de Viergol, en el valle de Mena de las Encartaciones de Vizcaya, con último endoso á favor de dicho Sr. Angulo, dos vales reales de á 300 pesos, de i.° de mayo, núms.</t>
  </si>
  <si>
    <t>de Antillon, Isidoro</t>
  </si>
  <si>
    <t>Isidoro de Antillon</t>
  </si>
  <si>
    <t>e de S. Luis. GRABADO. Mapa-mundi según las mas modernas observaciones y descubrimientos: publícalo D. Isidoro de Antillon. Véndese á 4 rs. en las librerías de Baylo y Perez, calle de las Carretas. Se han tenido presentes para construirlo los viages y navegaciones mas célebres de los españoles, ingles</t>
  </si>
  <si>
    <t>de Arana, Domingo</t>
  </si>
  <si>
    <t>Domingo de Arana</t>
  </si>
  <si>
    <t>Moquegua al Sargento mayor D. Gregorio Alarcon y Roa; á igual empleo del de caballería de Huanta á D. Domingo de Arana; al mismo en el de dragones de Acari y Chala al Comandante de esquadron D. Bernardo Velarde Calderón; á Comandan^ te de las seis compañías de caballería de Santa al Teniente Coron</t>
  </si>
  <si>
    <t>de Arana, Juan</t>
  </si>
  <si>
    <t>Juan de Arana</t>
  </si>
  <si>
    <t>Sánchez Pavón, D. Pablo Unda, D. Bonifacio Olivencia, D. Bernabé de Otalora, D. Juan de Mazarredo, D. Juan de Arana", D. Pablo Ferrando, cadete del regimiento de infantería de Soria, D. Eugenio de Zuloaga, Don Josef María Jusscé y D. Josef Baqúedano. Ganaron el premio extraordinario de instrucc</t>
  </si>
  <si>
    <t>de Arandia, Martín</t>
  </si>
  <si>
    <t>Martín de Arandia</t>
  </si>
  <si>
    <t>os. A conseqíisncia del fallecimiento abintestato de Doña María Victoria de Pazos, muger que fue de D. Martin de Arandia, vecino de esta corte,se han formado autos por el juzgado del Sr. D. Antonio Cano Manuel,alcalde de casa y corte, y escribanía de D. Julián Alonso y Estrada, á los quales han sali</t>
  </si>
  <si>
    <t>de Arangoiti y Biguri, Juan Manuel</t>
  </si>
  <si>
    <t>Juan Manuel de Arangoiti y Biguri</t>
  </si>
  <si>
    <t>y escribanía de D. Santiago de Estepar, se siguen autos por parte de varios hermanos y sobrinos de D. Juan Manuel de Arangoiti y Biguri, soltero, del estado noble y vecino de esta villa, uxier que fue de cámara de S. M., mayordomo del convento, de religiosas bernardas del Sacramento de esta corte, que falleció en</t>
  </si>
  <si>
    <t>de Aranguren y Sobrado, Francisco</t>
  </si>
  <si>
    <t>Francisco de Aranguren y Sobrado</t>
  </si>
  <si>
    <t>los historiadores que cita, con respecto solamente al muy noble y muy leal señorío de Vizcaya, por D. Francisco de Aranguren y Sobrado, alcalde del crimen honorario de la chancillería de Valladolid. Se hallará en la librería de ia viuda de Fernandez, Campo y compañía, frente á las gradas de S. Felipe. Infancia il</t>
  </si>
  <si>
    <t>de Aranguren y Urrutia, Francisco Xavier</t>
  </si>
  <si>
    <t>Francisco Xavier de Aranguren y Urrutia</t>
  </si>
  <si>
    <t>e ha de celebrar su remate el dia 12 del corriente en las casas da ayuntamiento. Por providencia de D. Francisco Xavier de Aranguren y Urrutia, juez subdelegado real del departamento de Bermeo, en el señorío de Vizcaya, diócesi de Calahorra y la Calzada, se ha señalado el dia 16 del presente para el remate de las lincas</t>
  </si>
  <si>
    <t>de Araoz, Juan</t>
  </si>
  <si>
    <t>Juan de Araoz</t>
  </si>
  <si>
    <t>próximo pasado falleció en la Havana, á los 74 años de edad, el teniente general de la real armada D. Juan de Araoz, señor de la villa de Bormujos, caballero gran cruz de la real y distinguida orden de Cárlos m, comendador de Arés del Maestre en la orden militar de Montesa, y capitán general ho</t>
  </si>
  <si>
    <t>de Arauna, Vicente María</t>
  </si>
  <si>
    <t>Vicente María de Arauna</t>
  </si>
  <si>
    <t>del puente de*Toledo hasta el paso del vado del portazgo, acuda á la secretaría de ayuntamiento de D. Vicente María de Arauna. avisos. El dia 20 de octubre último remitió D. Josef Llórente Perez, agente del número en esta corte, un vale de 150 pesos de la creación de setiembre, renovado con el nám. 18087</t>
  </si>
  <si>
    <t>de Arce, Antonio</t>
  </si>
  <si>
    <t>Antonio de Arce</t>
  </si>
  <si>
    <t>ro Lobo y Arjoña, .gobernador de la plaza de Tarifa ; y el de la ciudad de Vich al teniente coronel D. Antonio de Arce, capitán primero agregado al segundo batallón de voluntarios de Aragón. : s. m. se ha servido nombrar á D. Mariano Villellas de Mola para una de las d,ps varas de alcaldfe mayor d</t>
  </si>
  <si>
    <t>de Arce, Manuel</t>
  </si>
  <si>
    <t>Manuel de Arce</t>
  </si>
  <si>
    <t>o pudo efectuarse sin algún defecto: perdí 3 piezas de artillería, que dexé clavadas: á.mi ayudante D. Manuel de Arce le llevaron una charretera de un balazo, y hallándome desparramado y cortado, tuve que seguir con un trozo de caballería por callejones que me apartaron de la dirección de la ciud</t>
  </si>
  <si>
    <t>r Ello, el capitán de artillería urbana D. Josef de Pasos gravemente herido. Mi recomendable edecán D. Manuel de Arce, que hacia á mi lado sus primeras armas, y sé habia mostrado con ef mayor denuedo en el cómbate de Miserere, fue igualmente muerto en la calle de las Catalinas. Ultimamente, sabie</t>
  </si>
  <si>
    <t>de Arcega, Vicente</t>
  </si>
  <si>
    <t>Vicente de Arcega</t>
  </si>
  <si>
    <t>amillo: para la canongía de este á D. Temas Francisco Casarías; y para la ración al medio racionero D. Vicente de Arcega; y para otra media ración de la mi&lt;ma iglesia, vacante por ascenso de D. Jcsef de Vergara, á D* Camilo Pividal, presbítero* En cumplimiento de lo mandado en real pragmática-sanció</t>
  </si>
  <si>
    <t>de Arcos Gallego, Manuel</t>
  </si>
  <si>
    <t>Manuel de Arcos Gallego</t>
  </si>
  <si>
    <t>imiento de caballería del Príncipe se ha servido S. M. conceder empleo de portaestandarte al cadete D. Manuel de Arcos Gallego : en el de Alcántara tenencia á D, Francisco Estrada, guardia de Ccrps de la compañía española; y en el de Farneíie, ayudantía al teniente D. Francisco Gailardo: también se ha ser</t>
  </si>
  <si>
    <t>de Areliano, Juan Manuel</t>
  </si>
  <si>
    <t>Juan Manuel de Areliano</t>
  </si>
  <si>
    <t>aza mayor, y varias reglas y curiosidades para el perfecto conocimiento de este exercicio: su autor D. Juan Manuel de Areliano: 4.a edición: un tomo en 8.° á 4 rs. en rústica y 6 en pasta. Se hallará ea la librería de Villa , plazuela de Sto.Domingo, y de Escribano, calle de las Carretas. MtMf mmtm ——ymm—</t>
  </si>
  <si>
    <t>de Arevalo y Domínguez, Joaquín</t>
  </si>
  <si>
    <t>Joaquín de Arevalo y Domínguez</t>
  </si>
  <si>
    <t>Vicerite Domínguez de Prado, intendente de provincia de Toledo, y á I2S circunstancias de su nieto D. Joaquín de Arevalo y Domínguez, ha venido el Rey en conceder á este plaza supernumeraria de ministro del tribunal de la cámara de Comptos de Navarra con opcion á la de numero que le corresponda según su antigüe</t>
  </si>
  <si>
    <t>de Aróstegui, Juan</t>
  </si>
  <si>
    <t>Juan de Aróstegui</t>
  </si>
  <si>
    <t>los dos primeros premios á D. Manuel Benito de Vivanco y D. Valentín Suender, y los seis segundos á D. Juan de Aróstegui, D. Vicente de Ibarrola, D. Cayetano de Gironda, D. Josef de Soto, D. Josef del Valle y D. Francisco Mingo Fuentes, habiendo franqueado uno la señora marquesa de San Simón, otro e</t>
  </si>
  <si>
    <t>de Arquería Ja, Ventura</t>
  </si>
  <si>
    <t>Ventura de Arquería Ja</t>
  </si>
  <si>
    <t>stado de las cárceles de Filadelfia, escrita en francés por LarochefoucauldLiancourt, traducida por D. Ventura de Arquería Ja. La Utopia de Tomas Moro, traducida del latin al castellano; g.a edición añadida con el resumen de la vida del autor; un tomo en 8.° En esta preciosa obra da el autor institutos y</t>
  </si>
  <si>
    <t>de Arriaza, Juan Bautista</t>
  </si>
  <si>
    <t>Juan Bautista de Arriaza</t>
  </si>
  <si>
    <t>erso suelto castellano, y dedicada á la clase de poética del real seminario de Nobles de Madrid por D. Juan Bautista de Arriaza. Se hallará en la librería de Castillo, frente á las gradas de San Felipe. Hay exemplares en papel vitela. Modo de preservar de los rayos ¿ las personas, casas y demas edificios,</t>
  </si>
  <si>
    <t>de Arribas, Sebastián</t>
  </si>
  <si>
    <t>Sebastián de Arribas</t>
  </si>
  <si>
    <t>dad de Utrera : y la Cartilla del arte de carretero que tiene por lema: Protege enseñando, su autor D. Sebastian de Arribas, maestro carretero y veedor de su gremio en esta corte.-__Asimismo se publicó que se habia dado título de socio d^ mérito literario á D. Antonio de Aguilera y Aguilera, socio que</t>
  </si>
  <si>
    <t>de Arroyo, Agustin Benito</t>
  </si>
  <si>
    <t>Agustin Benito de Arroyo</t>
  </si>
  <si>
    <t>de dirección y gobierno de los hospitales General y de la Pasión de esta corte, y con asisténcia de D. Agustin Benito de Arroyo» escribano de diligencias de los mismos, se dio principio al sorteo de Uparte de vaxilla de plata que se ha rifado en favor de los pobres enfermos de ellos; y habiéndose suspendid</t>
  </si>
  <si>
    <t>de Arroyo, Manuel</t>
  </si>
  <si>
    <t>Manuel de Arroyo</t>
  </si>
  <si>
    <t>antes de mi llegada, en que quitó un carro de municiones , defendido por un cuerpo de 6co hombres; D. Manuel de Arroyo, D. Josef Gabriel de la Hoyuela, D. Pedro Nuñez, D. Lúeas Vivas, y D. Tomas Castillon su segundó, á la cabeza de verdaderos patricios, me han hecho los servicios mas distinguidos,</t>
  </si>
  <si>
    <t>de Astrearena, Pedro</t>
  </si>
  <si>
    <t>Pedro de Astrearena</t>
  </si>
  <si>
    <t>la, v juez en virtud de real orden de los autos de la ocurrencia de acreedores á los bienes del Sr. D. Pedro de Astrearena, marques que fue de Murillo, ha señalado el dia 26 del presente para celebrar junta general, á las 5 de la tarde , en la sala contaduría del patronato de los señores Iíurraldes, s</t>
  </si>
  <si>
    <t>que conoce en virtud de real orden de los autos de la ocurrencia de acreedores á los bienes del Sr. D. Pedro de Astrearena, marques que fue de Muriilo, ha señalado el dia 27 del corriente, á las 3 de su tarde, para celebrar junta general en la sala contaduría del patronato de los Sres. Iturraldes, sit</t>
  </si>
  <si>
    <t>de Aula y Aragues, Salvador</t>
  </si>
  <si>
    <t>Salvador de Aula y Aragues</t>
  </si>
  <si>
    <t>r postura á qualquiera de estas fincas lo executará por la escribanía de la comisión, que desempeña D. Salvador de Aula y Aragues. Por providencia de D. Ignacio Mariano de Mendoza, juez subdelegado en el partido de la ciudad deLoxa, diócesi de Granada, para la venta de bienes eclesiásticos, se ha señalado el</t>
  </si>
  <si>
    <t>de Austria, Juan</t>
  </si>
  <si>
    <t>Juan de Austria</t>
  </si>
  <si>
    <t>Mencionado en un suplemento de la Gazeta.</t>
  </si>
  <si>
    <t>Suplementos</t>
  </si>
  <si>
    <t>** virtud de sus respectivas patentes é instrucciones el Serenísimo Don Juan de Austria, hijo del Señor Rey Dan Cáríos I, el segundo Don Juan de Austria, hijodel Señor Don Felipe IV, el Infante Don Felipe , mi muy amado tio y suegro; y las que siempre han correspondi</t>
  </si>
  <si>
    <t>de Austria, María</t>
  </si>
  <si>
    <t>María de Austria</t>
  </si>
  <si>
    <t>e las tres capellanías que fundó en el convento de religiosas descalzas de esta villa la emperatriz Doña María de Austria, vacantes, la una por fallecimiento de D. Joaquín Agramuntell, y la otra por haber pasado con destino á la catedral de Toledo D. Daniel Traveria, á Don Fermín Latre, sorchantre de</t>
  </si>
  <si>
    <t>de Azpiroz, Francisco Xavier</t>
  </si>
  <si>
    <t>Francisco Xavier de Azpiroz</t>
  </si>
  <si>
    <t>spada del consejo de Indias, ha venido S M. en mandar que se restituya á servir aquella intendencia D. Francisco Xavier de Azpiroz, ministro honorario del consejo de la Guerra, en los mismos términos y con los propios títulos que lo estaba practicando anteriormente. En América. S. M. se ha dignado conferir la</t>
  </si>
  <si>
    <t>de Ba, Miguel</t>
  </si>
  <si>
    <t>Miguel de Ba</t>
  </si>
  <si>
    <t>ra esta á D. Hermenegildo de Llanderal, ministro de real hacienda de Ceuta : para este ministerio á D. Miguel de Ba térra , comisario de real hacienda de las minas del Almadén; y para este destino á D. Juan del Castillo Beíencourt. Jín América. E1 Rey se ha servido nombrar subtenientes de las c</t>
  </si>
  <si>
    <t>de Baíleme, Ramón</t>
  </si>
  <si>
    <t>Ramón de Baíleme</t>
  </si>
  <si>
    <t>Sanz y Labin, nombrado heredero de D, Josef Sanz , mercader en Santander, se servirá participarlo á D. Ramón de Baíleme, vecino y del comercio de dicha ciudad, ó á D. Juan Lavadi, en la misma. libros. Diccionario de medicina y cirugía, ó biblioteca manual médico-quirúrgica, por D. A. B.: obra en do</t>
  </si>
  <si>
    <t>de Barcia, Pedro</t>
  </si>
  <si>
    <t>Pedro de Barcia</t>
  </si>
  <si>
    <t>al y supremo consejo de Castilla, se cita, llama y emplaza á D. Miguel Perez Girón, D. Simón Perez, D. Pedro de Barcia, Santiago Celada, D. Pedro Garay, D. Isidoro del Castillo, D. Miguel Llaguno, IX Pedro Baranda, JoaquinGuio, Jcsef Mendez, Bartolomé Martin, Pedro Guio, Vívente Crespo, D. Josef G</t>
  </si>
  <si>
    <t>de Barrenengoa, Domingo</t>
  </si>
  <si>
    <t>Domingo de Barrenengoa</t>
  </si>
  <si>
    <t>© á Doña Josefa de Arangoiti y Biguri: otro de 30© á su marido D. Francisco de Perea: otro de 50© a D. Domingo de Barrenengoa: otro de 40© á D. Manuel de Landazuri: otro de 40© por mitad 4 Doña Josefa y Doña Ignacia de Landazuri: otro de 2oí) 4 cada uno de sus quatro sobrinos y sobrinas, hijos de los ins</t>
  </si>
  <si>
    <t>de Beauharnois, Francisco</t>
  </si>
  <si>
    <t>Francisco de Beauharnois</t>
  </si>
  <si>
    <t>ueo dejas islas británicas; y habiéndolo comunicado al Rey nuestro señor su embaxador el Excmo. Sr. D. Francisco de Beauharnois, gran dignidad do la orden de la coróna de Hierro, de La legÍon de Honor &amp;c.; y deseoso S. M. de cooperar á unas medidas calificadas rpor el derecho de la reciprocidad, se-ha serv</t>
  </si>
  <si>
    <t>AÑA. : Madrid 21 de abril. Por tiña líota dirigtdá^al Excmo. Sr^D. Pedro Cevallos por el Excmo% Sr. D. Francisco de Beauharnois, embajador del emperador de los franceses, enviado extraordinario y ministro plenipotenciaria de S. M. I. el reyde Italia cerca del rey nuestro señor, gran dignidad dé la orden de</t>
  </si>
  <si>
    <t>rra, caballero gran cruz de la real y distinguida orden española de Carlos ni &amp;c., y del Excmo. Sr. D. Francisco de Beauharnois, embaxador de S. M. el Emperador de los franceses, enviado extraordinario y ministro plenipotenciario de S. M. I. el Rey de Italia, gran dignidad del orden ae la corona de Hierro,</t>
  </si>
  <si>
    <t>necesita esta provincia en todos los ramos de su comprehenston. Madrid 20 de octubre. El Excmo. Sr. D. Francisco de Beauharnois, embaxador de Francia, enviado extraordinario, y ministro plenipotenciario de Italia, ha tenido audiencia particular de SS. MM. el día 14 de este mes en el Escorial. Dicho Excmo.</t>
  </si>
  <si>
    <t>de Bedoya, Juan Manuel</t>
  </si>
  <si>
    <t>Juan Manuel de Bedoya</t>
  </si>
  <si>
    <t>ano, calle de las Carretas. Instrúcciones cristianas para los militares, traducidas del francés por D. Juan Manuel de Bedoya, canónigo penitenciario de S. Ildefonso: un tomo en 8.° Se hallará á 4 rs. en las librerías de Sancha, calle del Lobo, y de Castillo, frente á las gradas de S. Felipe; en Valencia</t>
  </si>
  <si>
    <t>de Belmar, Pedro</t>
  </si>
  <si>
    <t>Pedro de Belmar</t>
  </si>
  <si>
    <t>s, graduado de Capitán, D. Carmen Cerveto; y Tenencia en el de Ultonia al Subteniente de granaderos D. Pedro de Belmar: asimismo se ha dignado conferir Compañía en el Regimiento de infantería de Ñapóles al Teniente de granaderos, graduado de Capitán, D. Francisco Arnauda ; y Tenencia en el de Cant</t>
  </si>
  <si>
    <t>de Benevento, Príncipe</t>
  </si>
  <si>
    <t>Príncipe de Benevento</t>
  </si>
  <si>
    <t>las 9 de la noche prestaron el juramento acostumbrado en manos de S. M. Mrs. el Príncipe de Benevento, ministro de Relaciones</t>
  </si>
  <si>
    <t>de Berganza y Aguirrc, Santiago</t>
  </si>
  <si>
    <t>Santiago de Berganza y Aguirrc</t>
  </si>
  <si>
    <t>la calle y casa del Sacramento, donde vivía, con D. Domingo v D. Francisco de Berganza y Zulueta, y D. Santiago de Berganza y Aguirrc, vecinos y del comercio de esta villa, herederos de Den Juan Manuel de Armgoiti, sobre aclarar la legitimidad ó falsedad de una memoria testamentaria, escrita con fecha 21 de novi</t>
  </si>
  <si>
    <t>de Berganza y Zulueta, Domingo</t>
  </si>
  <si>
    <t>Domingo de Berganza y Zulueta</t>
  </si>
  <si>
    <t>Por el co.rreo de ió de Diciembre último remitió D. Miguel María de Gorta^ zar, vecino de Bilbao, á D. Domingo de Berganza y Zulueta, de esta Corte, 119 y ; * (9) Informe de la Ciudad de Toledo, pág. 211.</t>
  </si>
  <si>
    <t>de Berganza y Zulueta, Francisco</t>
  </si>
  <si>
    <t>Francisco de Berganza y Zulueta</t>
  </si>
  <si>
    <t>rzo del año próximo pasado de 1806 en la calle y casa del Sacramento, donde vivía, con D. Domingo v D. Francisco de Berganza y Zulueta, y D. Santiago de Berganza y Aguirrc, vecinos y del comercio de esta villa, herederos de Den Juan Manuel de Armgoiti, sobre aclarar la legitimidad ó falsedad de una memoria testam</t>
  </si>
  <si>
    <t>de Berindoaga, Juan</t>
  </si>
  <si>
    <t>Juan de Berindoaga</t>
  </si>
  <si>
    <t>ronel del mismo D. Graciano de Torres; y en el de la misma clase de CarabayUo á capitán al teniente D. Juan de Berindoaga , á ayudante al teniente D- Luis Serrano , á teniente al alférez D. Pedro Martines Ucamuzaga r y á portaguiones aL cadete D. Francisco Naranjo y al sargento primero B. Francisco T</t>
  </si>
  <si>
    <t>de Bernardo, Gerónimo Martín</t>
  </si>
  <si>
    <t>Gerónimo Martín de Bernardo</t>
  </si>
  <si>
    <t>Castillo y Fuentenebro. El emprendedor, ó aventuras de un español en el Asia: novela original , por D. Gerónimo Martin de Bernardo: 2 tomos en 8.° con láminas finas. Se hallará en la librería de Orea, frente á S. Luis, y de Fuentenebro, calle de las Carretas. Colección de novelas escogidas, compuestas por ios</t>
  </si>
  <si>
    <t>de Betanccurt, Agustín</t>
  </si>
  <si>
    <t>Agustín de Betanccurt</t>
  </si>
  <si>
    <t>de les ingleses se hallan, según se dice, en situación muy apurada. FRANCIA. París 22 de setiembre. D. Agustín de Betanccurt, inspector general dé los caminos de España, ha comunicado al instituto una invención nueva que facilita considerablemente la construcción de canales, suprimiendo todo gasto inúti</t>
  </si>
  <si>
    <t>de Borja Hurtado de Gorcuera, Francisco</t>
  </si>
  <si>
    <t>Francisco de Borja Hurtado de Gorcuera</t>
  </si>
  <si>
    <t>el próximo mes de .agosto, y los pretendientes,dirigirán sus memoriales al ayuntamiento por mano de D. Francisco de Borja Hurtado de Gorcuera, .su. procurador síndico general; 'en la inteligencia de que solo sé admitirán hasta el dia i.° del propio nies de agosto. LIBROS. Viage pintoresco é histórico de España, por D. A</t>
  </si>
  <si>
    <t>de Borja Romero y Santa María, Francisco</t>
  </si>
  <si>
    <t>Francisco de Borja Romero y Santa María</t>
  </si>
  <si>
    <t>iadolid de Mechoacan, vacante por haberla renunciado D. Josef Jacinto de Llanos, al medio racionero D. Francisco de Borja Romero y Santa María; y para esta resulta á D. Antonio Lauriano Cortes y Olarte. También se ha dignado S. M. nombrar para la plaza de oidor de la audiencia de México, vacante por fallecimiento de D. F</t>
  </si>
  <si>
    <t>de Borja Sánchez, Francisco</t>
  </si>
  <si>
    <t>Francisco de Borja Sánchez</t>
  </si>
  <si>
    <t>oruña; á D. Francisco de Paula Seler, regidor de la ciudad de Alicante, comisionado por la misma; á D. Francisco de Borja Sánchez, individuo de la sociedad económica de Murcia, y catedrático ae filosofía; á D. Josef Camó y Heras, maestro de primeras letras en Vich, y á D. Alfonso Paz Giraldo. VENTAS JUDICIAL</t>
  </si>
  <si>
    <t>de Bose, Carlos (conde)</t>
  </si>
  <si>
    <t>Conde Carlos de Bose</t>
  </si>
  <si>
    <t>Negra y del Aguila Roxa de Prusia, y de la Fidelidad de Badén; y S. A. S. el Elector de.Saxonia al Conde Carlos de Bose, su Sumiller de Corps, y Caballero de la Orden de la Estrella Polar; los quales, habiendo cangeado sus plenos poderes, se han convenido en lo siguiente: Articut-.o 1. Desde el ins</t>
  </si>
  <si>
    <t>de Brea, Miguel Ángel</t>
  </si>
  <si>
    <t>Miguel Ángel de Brea</t>
  </si>
  <si>
    <t>un beneficio de laprioral del Puerto de Sta. María, en la diócesi de Sevilla, vacante’por muerte de D. Miguel Angel de Brea, á D. Pedro Lobo Mesía de Monroy, cura del hospital del Amor de Dios en la ciudad de ‘Sfevilla, con ia carga de precisa personal residencia, ayudar á lo? párrocos de la misma prio</t>
  </si>
  <si>
    <t>de Bruna y Ahumada, Francisco</t>
  </si>
  <si>
    <t>Francisco de Bruna y Ahumada</t>
  </si>
  <si>
    <t>il último falleció en la ciudad de Sevilla, á los 87 años, 8 mefes y 27 dias de edad, el Excmo. Sr. D. Francisco de Bruna y Ahumada, natural que fue de la ciudad de Granada, caballero del orden de Calatrava, oidor decano de la real audiencia de dicha ciudad de Sevilla, y del consejo de Estado de S. M. &amp;c. Sigu</t>
  </si>
  <si>
    <t>de Búrgos, Francisco Xavier</t>
  </si>
  <si>
    <t>Francisco Xavier de Búrgos</t>
  </si>
  <si>
    <t>librería de Escribano, calle de las Carretas, á 4 rs. Puede ir en carta. Comedia, el Heredero, por D. Francisco Xavier de Búrgos, regidor perpetuo de Motril. Se vende á 6 rs. en la librería de Castillo, frente á las gradas de S. Felipe; en Granada en la de Polo, y en Valencia en la de Mallen. CRABADO. Nueva</t>
  </si>
  <si>
    <t>de Bustos y Angulo, Ventura</t>
  </si>
  <si>
    <t>Ventura de Bustos y Angulo</t>
  </si>
  <si>
    <t>mismo esta parte preciosa sana, firme y blanca: segunda edición enriquecida y mejorada por su autor D. Ventura de Bustos y Angulo, cirujano dentista en esta corte.—Deseando corresponder al aprecio que el público hizo de la primera edición, se ha procurado enriquecer esta segunda con varios tratados nue&lt;* vos</t>
  </si>
  <si>
    <t>de Bustos, Juan</t>
  </si>
  <si>
    <t>Juan de Bustos</t>
  </si>
  <si>
    <t>o, y de fusileros á los subtenientes D. Manuel Martínez Malo, de granaderos, D. Henrique O-Neille , D. Juan de Bustos, D. Josef Víctor Salcedo, D. Josef del Rox, D. Luis Antonio Merlano y D. Manuel de Medina.; á subtenientes de granaderos á los de fusileros D. Josef Angel Velazquez y D. Josef Mar</t>
  </si>
  <si>
    <t>de Cabrera, Francisco</t>
  </si>
  <si>
    <t>Francisco de Cabrera</t>
  </si>
  <si>
    <t>al teniente coronel D. Pedro Quadrado, sargento mayor del de cazadores de Oiivenciar esta resulta á D. Francisco de Cabrera capitán del de dragones del Reyr j y en eL de húsares Españoles empleo de reniente al alférez D. Josef García.. S. M. se ha servido nombrar capitán de la compañía fixa de artiller</t>
  </si>
  <si>
    <t>de Calzada, Bernardo María</t>
  </si>
  <si>
    <t>Bernardo María de Calzada</t>
  </si>
  <si>
    <t>s de Anterior por Grecia, Asia y Egipto, trasladados á la lengua castellana por el teniente coronel D Bernardo María de Calzada : 3 tomos en 8.° mayor, cada uno con una lámina alusiva en el frontis. Obra de muy agradable lectura</t>
  </si>
  <si>
    <t>de Campos, Agustín</t>
  </si>
  <si>
    <t>Agustín de Campos</t>
  </si>
  <si>
    <t>preguntas que se les hicieron , y dieron una distinguida prueba del zeto y eficacia de sus maestros D. Agustín de Campos, el P. colegial Fr. Ciríaco Clavero, .del orden calzado déla Merced, D. Rafael Tenorio y ¡Herrera, D. Francisco de las Casas VD. Tomas Salazar, Don Mariano..Fernandez^. D. Manuel</t>
  </si>
  <si>
    <t>de Capmany, Antonio</t>
  </si>
  <si>
    <t>Antonio de Capmany</t>
  </si>
  <si>
    <t>sta. * Qíiestlones críticas sobre varios puntos de historia económica^ política y militar; su autor D. Antonio de Capmany. i.* Si la industria, la agricultura y la población de España de los sígtos pasados han llevado ventaja á las del tiempo presente: 2.a del inventor de la brúxula,y de su primer us</t>
  </si>
  <si>
    <t>de Cárdenas, Antonio Manuel</t>
  </si>
  <si>
    <t>Antonio Manuel de Cárdenas</t>
  </si>
  <si>
    <t>e de número de Indias, que vive en la calle de T'.rédtáflos, nérñ. 15, desea saber la existencia de D. Antonio Manuel de Cárdenas, qtfé’áéhallaba en esta córte el año de 1779, ó de algún pariente suyo, para tratar de un asunto.</t>
  </si>
  <si>
    <t>de Cárdenas, Francisco</t>
  </si>
  <si>
    <t>Francisco de Cárdenas</t>
  </si>
  <si>
    <t>a al cadete del mismo cuerpo D. Josef de Vargas : en el de Búrgos al sargento primero de granaderos D. Francisco de Cárdenas: en el de voluntarios de Estado al cadete del primer batallón de infantería ligera de voluntarios de Aragón D. Evaristo Fernandez de San Miguel: en el regimiento de infantería del</t>
  </si>
  <si>
    <t>de Casas, Pedro Antonio</t>
  </si>
  <si>
    <t>Pedro Antonio de Casas</t>
  </si>
  <si>
    <t>a secretaría de Estado y del despacho universal de hacienda de Indias, vacante por fallecimiento de D. Pedro Antonio de Casas, á D. Manuel de Albuerne, concediendo los ascensos regulares á los demas que le siguen, y la resulta ¿ D. Rafael Morant. Asimismo en atención á los méritos y circunstancias de D.</t>
  </si>
  <si>
    <t>de Castilla, Francisco María</t>
  </si>
  <si>
    <t>Francisco María de Castilla</t>
  </si>
  <si>
    <t>la diócesi de Piasencia, y en virtud de auto del juez subdelegado de la villa y partido.de MedelLin D. Francisco María de Castilla, se ha mandado sacar á pública subástala dehesa de Casa-campo, en término de la de San Benito, á 3 leguas de distancia, que se compone de 800 cabezas de parir, ó carneros, aprecia</t>
  </si>
  <si>
    <t>de Castillo Mier, Manuel</t>
  </si>
  <si>
    <t>Manuel de Castillo Mier</t>
  </si>
  <si>
    <t>ga en tres tercios. Lps pretendientes dirigirán sus memoriales, con sus correspondientes títulos, ¿ D. Manuel de Castillo Mier, arcipreste y vicario de aquella villa, un mes antes de la oposición, que será desde el dia 8 de Junio próximo hasta el 12 inclusive.' XIBXOS. Tratado histórico y práctico de la v</t>
  </si>
  <si>
    <t>de Castro Palomino, Nicolás</t>
  </si>
  <si>
    <t>Nicolás de Castro Palomino</t>
  </si>
  <si>
    <t>Luis Cueto, Sargento mayor del de Borbon : en el de Cantabria Tenencia al Subteniente de granaderos D. Nicolás de Castro Palomino: en el de Jaén Tenencia at Cadete D. Lorenzo Romaña; y el empleo de Capitán primero en el batallón de Voluntarios de Valencia ai primer Ayudante D. Josef Vidal. El Rey se ha servi</t>
  </si>
  <si>
    <t>de Castro y Aguirre, Antonio</t>
  </si>
  <si>
    <t>Antonio de Castro y Aguirre</t>
  </si>
  <si>
    <t>a al alférez D. Cristóbal Frontín; empleo de alférez al portaguión D. Josef Lemos, y esta resulta á D. Antonio de Castro y Aguirre, cadete del de reales Guardias españolas. El día 12 de marzo próximo pasado falleció en esta corte, á los 80 años,, 6 meses y medio de su edad, el Sr. D. Josef Agustín Castaño, mi</t>
  </si>
  <si>
    <t>de Castro y Barbeyto, Benito</t>
  </si>
  <si>
    <t>Benito de Castro y Barbeyto</t>
  </si>
  <si>
    <t>s de María santísima, sacados de la obra que escribió el M. R. P. Fr. Manuel Guardiola y Rueda, por D. Benito de Castro y Barbeyto, canónigo de la colegial de la Coruiía: un tomo. =:Sermones morales y panegíricos del Dr. Castro,dirigidos á los predicadores jóvenes, y útiles á todo género de personas: 3 tomos</t>
  </si>
  <si>
    <t>de Castro, Pedro</t>
  </si>
  <si>
    <t>Pedro de Castro</t>
  </si>
  <si>
    <t>icente Campuzaoo: á Subteniente de bandera á D. Josef Francisco Maestre y Bedanos; y á Portaguión á D. Pedro de Castro, los quatro último.' vecino* de la jurisdicción dei mismo cuerpo. No habiendo sido poible publicar ántes de ahora mas noticias acerca de la importante reconquista de Buenos-Ayres</t>
  </si>
  <si>
    <t>de Ccntreras, Francisco Xavier</t>
  </si>
  <si>
    <t>Francisco Xavier de Ccntreras</t>
  </si>
  <si>
    <t>del despacho universal de Gracia y Justicia. Ultimamente, en atención á los méritos y servicios de D. Francisco Xavier de Ccntreras, oidor que fue de la audiencia de Extremadura, y elec</t>
  </si>
  <si>
    <t>de Celada, Miguel</t>
  </si>
  <si>
    <t>Miguel de Celada</t>
  </si>
  <si>
    <t>D. Diego Mesía, D. Josef Chacón y Don Josef Salazar. En la de primer año de filosofía, del cargo de D. Miguel de Celada en este curso, han merecido D. Josef Isla el primer premio, Don Mariana Ibañez el segundo- En la de segundo año de la misma facultad, del cargo, en el presente curso, de D. Julián N</t>
  </si>
  <si>
    <t>de Céspedes, Juan</t>
  </si>
  <si>
    <t>Juan de Céspedes</t>
  </si>
  <si>
    <t>ciudad: para una ración de la catedral de Jaén, vacante por muerte de D. Manuel Josef Palomares, á D. Juan de Céspedes: para el priorato de la iglesia imperial de Sta. María de Palacio de Logroño, diócesi de Calahorra, vacante por fallecimiento de D. Vicente González Alvaro, á D. Francisco Xavier</t>
  </si>
  <si>
    <t>de Céspedes, Manuel</t>
  </si>
  <si>
    <t>Manuel de Céspedes</t>
  </si>
  <si>
    <t>engan se recurrirá á D. Manuel Navarrete, caballero del orden de Carlos rrr, vecino de Granada, ó á D. Manuel de Céspedes, maestrante de Ronda, residente en Cádiz. ’ Se halla vacante la plaza de médico de la villa de Alboloduy, de 400 vecino» reunidos en el mismo pueblo, la qual se halla dotada con 5</t>
  </si>
  <si>
    <t>ien conferirle por otro decreto de 5 de julio úlrimo; y ha nombrado S. M. para ia expresada plaza á D. Manuel de Céspedes, catedrático de la universidad de Sevilla.</t>
  </si>
  <si>
    <t>de Chorno, Joaquín</t>
  </si>
  <si>
    <t>Joaquín de Chorno</t>
  </si>
  <si>
    <t>Capitanes de granaderos á los de fusileros D. Carlos de Vilmont , graduado de Teniente Coronel., .y D. Joaquín de Chorno : á -Capitanes á les Tenientes D. Antonio Coudougnan, de granaderos,D. Bartolomé Pellerin, D. Ignacio Fernandez de Velasco, Ayudante mavor ^graduado de Capitán , D. Rafael Croqutr</t>
  </si>
  <si>
    <t>de Cifuentes, Pedro Joaquín</t>
  </si>
  <si>
    <t>Pedro Joaquín de Cifuentes</t>
  </si>
  <si>
    <t>sueldo de la dotación de este empleo, libre del derecho de media anata: en declarar sus ascensos á D. Pedro Joaquín de Cifuentes, cñcial primero menos antiguo dé la expresada secretaría de estado, y á los demás oficiales de ella según el órdende su antigüedad; y nombrar para la última plaza-que 'resulta vac</t>
  </si>
  <si>
    <t>de Cistue, Luis María</t>
  </si>
  <si>
    <t>Luis María de Cistue</t>
  </si>
  <si>
    <t>n y cultivo, Jos que exige la poda, y los que debiera haber en la vendimia.___En el dia 16 el socio D. Luis María de Cistue, caballero de la real y distinguida orden española de Carlos 111, y académico de honor de la real de S. Luis, sobre los abonos en sus diferentes clases, sus aplicaciones respectiv</t>
  </si>
  <si>
    <t>el socio D. Mariano Calvete sobre los efectos que ocasiona un empréstito en la industria: el socio D. Luis María de Cistue sotare qué clases de personas pueden reputarse producentes en una nación: D. Josef de la Cruz sobre las trabas que ocasionan á la industria las incorporaciones gremiales: Don Mart</t>
  </si>
  <si>
    <t>de Copons, Manuel</t>
  </si>
  <si>
    <t>Manuel de Copons</t>
  </si>
  <si>
    <t>(a alta dignidad de Generalísimo Almirante de España é Indias, compuso D. Antonio de Salas, y glosó D. Manuel de Copons, Teniente Coronel agregado al Estado mayor de la plaza de Madrid. Se hallará en la librería de Ce»» ro, calle de las Carretas: su precio 2 rs.; puede ir en carta. Los Santos del a</t>
  </si>
  <si>
    <t>de Córdoba y Rosal, Nicolás</t>
  </si>
  <si>
    <t>Nicolás de Córdoba y Rosal</t>
  </si>
  <si>
    <t>y curaduría que fue. cargada á D¿ Miguel del Valle de las personas y bienes de los hijos menores de D. Nicolás de Córdoba y Rosal; y también otros 4 censos afectos sobre las mismas casas: uno de 1699 rs. en favor de la capellanía que fundó Doña María de la Paz:otro de 400 ducados á favor de las memorias y ca</t>
  </si>
  <si>
    <t>de Craiwinckel, Manuel</t>
  </si>
  <si>
    <t>Manuel de Craiwinckel</t>
  </si>
  <si>
    <t>campo D. Alexandro Conde de Coupigni, sargento mayor i del mismo cuerpo: esta resulta al brigadier D. Manuel de Craiwinckel, comandante de batallón; y el empleo de segundo ayudante mayor al alférez agregado Dv Cárlos D’aunnoi. El Rey se ha servido promover á capitán primero en el regimiento suizo de Wi</t>
  </si>
  <si>
    <t>de Diego Garcilaso de la Vega, Julián</t>
  </si>
  <si>
    <t>Julián de Diego Garcilaso de la Vega</t>
  </si>
  <si>
    <t>alenturas amarillas, simples ó contagiosas, y su método curativo: por el Dr. D. Julián de Diego Garcilaso de la Vega , médico del número de esta corte. Se vende á 4 rs. en la librería de Sancha, calle del Lobo; en Córdoba en la de Ramos, y en Granada en la de Saez. El buen jugador, ó método racional de j</t>
  </si>
  <si>
    <t>de Echeandia, Pedro Gregorio</t>
  </si>
  <si>
    <t>Pedro Gregorio de Echeandia</t>
  </si>
  <si>
    <t>o y D. Tomas López, también médicos colegiales, y secretarios de las clases de agricultura y artes, D. Pedro Gregorio de Echeandia, catedrático de botánica, D. Benito Josef de Ribera, de economía política, D. Josef Benito de Cistue y D# Mariano Villa, catedráticos de matemáticas, con otros muchos socios, y un</t>
  </si>
  <si>
    <t>de Ercilla, Alonso</t>
  </si>
  <si>
    <t>Alonso de Ercilla</t>
  </si>
  <si>
    <t>la de Ránz, callé de lá Cruz, á 12 rs. , lía Araucana, ó historia dé laf éon^úista/del Perú ,’ pór D. Alonso de Ercilla , y Zúñiga.: última impresión en, a tomos en ^.° Se hallará én las librerías de Fueni. tenébro, * :■ callé ' J de las l.¡y Ca'rretas,' ’, ' y de Oreá, * '* ■'rjfrerftc , f 1 á S.</t>
  </si>
  <si>
    <t>de Erro y Azpiroz, Juan Bautista</t>
  </si>
  <si>
    <t>Juan Bautista de Erro y Azpiroz</t>
  </si>
  <si>
    <t>todo su sueldo, yios honores de contador de exército, nombrando para esta contaduría de la Mancha á D. Juan Bautista de Erro y Azpiroz, que lo es de la de Soria; y para esta resulta á D. Miguel Boltri, oficial primero del archivo de la secretaría de Estado del despacho de Gracia y Justicia. También ha concedido S</t>
  </si>
  <si>
    <t>de Errós, Pedro</t>
  </si>
  <si>
    <t>Pedro de Errós</t>
  </si>
  <si>
    <t>a provincial de Puebfa, en Nueva-España , se ha servido el Rey promover á Capitanes á los Tenientes D. Pedro de Errós y D. Joaquín de Ureta j á Tenientes á los Subtenientes de granaderos D. Manuel de los Rros y D. Pedro de la Sota, y á los de fusileros D. Josef Blanco , D. Josef Vargas y D. Antonio A</t>
  </si>
  <si>
    <t>de Escalada, Martín</t>
  </si>
  <si>
    <t>Martín de Escalada</t>
  </si>
  <si>
    <t>, por promoción de D. Benito Barreda y Rebolledo á la dignidad dé capiscol de la propia iglesia , á D. Martin de Escalada , cura párroco del lugar de Valdelateja, en el arzobispado de Burgos; y para el préstamo de la parroquia de S. Martin de Huerta de arriba, en la diócesi de Burgos » vacante por fa</t>
  </si>
  <si>
    <t>de Escaño, Antonio</t>
  </si>
  <si>
    <t>Antonio de Escaño</t>
  </si>
  <si>
    <t>acostumbrado en manos de S. A. los tenientes generales de la real armada D. Ignacio María de Alava, D. Antonio de Escaño, y D. Josef Justo Sateedo; D. Luis María de Salazar, intendente general; D. Juan Peres V¡Hamil , auditor general; el gefe de esquadra D. Josef de Espinosa, secretario; el capitán</t>
  </si>
  <si>
    <t>de Escartin, Francisco Antonio</t>
  </si>
  <si>
    <t>Francisco Antonio de Escartin</t>
  </si>
  <si>
    <t>ederico 11, Rey de Prusia, escrito en francés por el conde deGutbert, y traducido al castellano por D. Francisco Antonio de Escartin: un tomo en 8.° á 7 rs. en rústica y 9 en pasta.__El labrador vascongado, ó antiguo agricultor español: demostración de las mejoras de que es susceptible la agricultura en las pro</t>
  </si>
  <si>
    <t>de Estepar, Santiago</t>
  </si>
  <si>
    <t>Santiago de Estepar</t>
  </si>
  <si>
    <t>nsejos. Ante el Sr. D. Torquato Antonio Collado, teniente corrígidor de esta villa, y escribanía de D. Santiago de Estepar, se siguen autos por parte de varios hermanos y sobrinos de D. Juan Manuel de Arangoiti y Biguri, soltero, del estado noble y vecino de esta villa, uxier que fue de cámara de S. M</t>
  </si>
  <si>
    <t>de Fageaga, Martín Esteban</t>
  </si>
  <si>
    <t>Martín Esteban de Fageaga</t>
  </si>
  <si>
    <t>yotra idem á Pascual Melíá, de Albocacer: otra idem á Josef Zamora, de Villamarchant: otra ideen á D. Martin Esteban de Fageaga, de Castellón de la Plana: otra idem á Pascual Tatay, de Ruzafa-----.Concluido el sorteo se procedió á la elección de empleos para el corriente año, quedando elegidos á pluralidad</t>
  </si>
  <si>
    <t>de Felz, Barón</t>
  </si>
  <si>
    <t>Barón de Felz</t>
  </si>
  <si>
    <t>endremos un invierno inuy húmedo y poco sano. r Se espera en esta residencia al Barón de Felz , Ministro Austríaco, que hace dos años estaba ausente', y volverá á éxercer sus funciones cerca de nuestro Soberano. (Gazetá déMFrUncÍa de i£de Diciembre •) •"i - ;; * r* ?—y • * • • » , 1</t>
  </si>
  <si>
    <t>de Fuentes, Benigno</t>
  </si>
  <si>
    <t>Benigno de Fuentes</t>
  </si>
  <si>
    <t>irección de D. Miguel D lz, profesor de matemáticas, se presentaron á examen público los discípulos D. Benigno de Fuentes y D. Miguel de Morfi, en el que dieron una prueba de su aplicación, respondiendo á quantas preguntas se les hicieron pertenecientes á la aritmética mercantil, comercio, reducción de m</t>
  </si>
  <si>
    <t>de Fuentes, Juan</t>
  </si>
  <si>
    <t>Juan de Fuentes</t>
  </si>
  <si>
    <t>eón. • En el regimiento de caballería de la Reyna se ha servido el rey conceder tenencia al alférez D. Juan de Fuentes; y en el de Montesa empleo de alférez al portaestandarte D. Juan de la Puerta. También se ha servido S. M. conferir compañía en el regimiento de dragones de Pavía al ayudante D Ra</t>
  </si>
  <si>
    <t>de Gabriel, Fernando</t>
  </si>
  <si>
    <t>Fernando de Gabriel</t>
  </si>
  <si>
    <t>gTado de coronel de infantería á los tenientes coroneles del real cuerpo de Ingenieros del exército D. Fernando de Gabriel y D. Juan Ordobas. En América. El Rey se ha dignado nombrar sargento mayor del regimiento de milicias disciplinadas de infantería de Arequipa al teniente coronel D. Felipe Olazabal, c</t>
  </si>
  <si>
    <t>de Garay y Artabe, Joaquín</t>
  </si>
  <si>
    <t>Joaquín de Garay y Artabe</t>
  </si>
  <si>
    <t>o de Aravaca, médico: el P. Alexandro Martínez del Patrocinio de la VE gen, de las escuelas pías; y D. Joaquín de Garay y Artabe.__ A todos estos íugetos se les ha dado una certificación de su idoneidad por el primer gefe del real instituto, en cumplimiento de las sabias disposiciones de S. A. S.; y solo po</t>
  </si>
  <si>
    <t>de Garay, Martín</t>
  </si>
  <si>
    <t>Martín de Garay</t>
  </si>
  <si>
    <t>M. se ha servido promover á la intendencia dé~exérc¡to de Extremadura al de la provincia de Murcia D. Martin de Garay. Atendiendo el Rey á los particulares méritos y servicios personales contraídos en beneficio público y del estado por D. Josef Joaquín de Milá de la Roca y de Astigarraga, natural</t>
  </si>
  <si>
    <t>de Gerona, Melchor</t>
  </si>
  <si>
    <t>Melchor de Gerona</t>
  </si>
  <si>
    <t>irector subinspector al brigadier y coronel D. Francisco Vitlároel, y á coronel al teniente coronel D. Melchor de Gerona. El Rey se ha servido concedeT en el regimiento de infantería de Málaga ayudantía al teniente de g anaderos D. Vicente Hernández, y en el de Guadalaxara tenencias á los subtenient</t>
  </si>
  <si>
    <t>de Girate, Miguel Ignacio</t>
  </si>
  <si>
    <t>Miguel Ignacio de Girate</t>
  </si>
  <si>
    <t>o de D. Juan Martínez de los Ríos á la tesorería , y la segunda por muerte de D. Agustín del Rio, á D. Miguel Ignacio de Girate, y á D. Josef María Hidalgo. El Rey se ha dignado conceder ayudantías veteranas en los cuerpos de milicias disciplinadas del reyno de Gcatemala, en el batallón de Cartago á D. Láz</t>
  </si>
  <si>
    <t>de Gironda, Cayetano</t>
  </si>
  <si>
    <t>Cayetano de Gironda</t>
  </si>
  <si>
    <t>Vivanco y D. Valentín Suender, y los seis segundos á D. Juan de Aróstegui, D. Vicente de Ibarrola, D. Cayetano de Gironda, D. Josef de Soto, D. Josef del Valle y D. Francisco Mingo Fuentes, habiendo franqueado uno la señora marquesa de San Simón, otro el Sr. D. Josef María Puig, del consejo real, y d</t>
  </si>
  <si>
    <t>de Godry, Diego</t>
  </si>
  <si>
    <t>Diego de Godry</t>
  </si>
  <si>
    <t>- M. conferir fel empleo de coronel del regimiento de reales guárdias Españolas al teniente general D. Diego de Godry, inspector general de la caballería: la capitanía general de Castil.a Ja nueva al teniente general D, Francisco Xavier de Negrete, inspector general de infantería: la comandancia</t>
  </si>
  <si>
    <t>de Goossens, Pedro Antonio</t>
  </si>
  <si>
    <t>Pedro Antonio de Goossens</t>
  </si>
  <si>
    <t>el empleo de comandante dei segundo batallón del regimiento de reales guardias Valonas al brigadier D. Pedro Antonio de Goossens, capitán del mismo cuerpo. El Rey se ha servido conceder en el regimiento de infantería de voluntarios de Estado tenencia al subteniente de granaderos D. Antonio Rico; y en el de</t>
  </si>
  <si>
    <t>de Gorta, Miguel María</t>
  </si>
  <si>
    <t>Miguel María de Gorta</t>
  </si>
  <si>
    <t>o á ser el que ahora tenemos. (Se continuará») , _ Por el co.rreo de ió de Diciembre último remitió D. Miguel María de Gorta^ zar, vecino de Bilbao, á D. Domingo de Berganza y Zulueta, de esta Corte, 119 y ; * (9) Informe de la Ciudad de Toledo, pág. 211.</t>
  </si>
  <si>
    <t>de Goycoechca, Agustín</t>
  </si>
  <si>
    <t>Agustín de Goycoechca</t>
  </si>
  <si>
    <t>en, se servirá dirigirlas á Cádiz ó Sevilla á alguna de la« dos asas mencionadas, y en esta corte á D. Agustín de Goycoechca, del comer? $io, frente á las gradas de S. Felipe. En virtud de auto del Sr. D. León de Sagasta, teniente corregidor de esta villa, y executoria de los señores del real y supremo</t>
  </si>
  <si>
    <t>de Goycoecheá, Gaspar</t>
  </si>
  <si>
    <t>Gaspar de Goycoecheá</t>
  </si>
  <si>
    <t>... . . pitan prímeré el segundó D. Gaspar de Goycoecheá, y á teniente el subteniente D. Félix de Toda. Eri atención á los buenos •servicios de D. Francisco López de Alcaraz, secretario del rey con ejercicio devdecrétós, y oficial mayor</t>
  </si>
  <si>
    <t>de Gracia, Manuel</t>
  </si>
  <si>
    <t>Manuel de Gracia</t>
  </si>
  <si>
    <t>n el regimiento de infantería de Puebla se ha servido promover á teniente coronel al sargento mayor D. Manuel de Gracia, y á sargento mayor al capitán de granaderos D. Agustín Ramírez, los dos graduados de tenientes coroneles. ' En la gazeta núm. 97 , pág. H24,lín. 16 , doilde dice Suecia, léase No</t>
  </si>
  <si>
    <t>de Grmbernat, Carlos</t>
  </si>
  <si>
    <t>Carlos de Grmbernat</t>
  </si>
  <si>
    <t>, hechos en Inglaterra para cortar los progresps.de una calentura maligna contagiosa, traducida por D. Carlos dé Grmbernat, vice director del real gabinete de historia natufal.tz: Extracto de una carta del mismo sobre sus observaciones geológicas hechas por ré,al orden en la cordillera de Iba Alpes, E</t>
  </si>
  <si>
    <t>de Guendica, Juan Bautista</t>
  </si>
  <si>
    <t>Juan Bautista de Guendica</t>
  </si>
  <si>
    <t>El prior y cónsules del consulado de Bilbao están entendiendo en los autos de quiebra y concurso de D. Juan Bautista de Guendica, ya difunto, vecino y del comercio que fue de ella, los que tuvieron su principio el año de 1746. Eos acreedores ó sus legítimas representaciones que tuvieren derecho á sus bienes</t>
  </si>
  <si>
    <t>de Guñincl, Ramón</t>
  </si>
  <si>
    <t>Ramón de Guñincl</t>
  </si>
  <si>
    <t>Damian Gon zalez del Cueto, y reducido á Ja pureza del original en esta última impresión por el P- D. Ramón de Guñincl, d:l mismo orden : 2 tomos en 8.° con 5 láminas riñas. Véndense en la librería de Martinez, frente á las gradas de S. Felipe. Instrucción para ios niños, ó consejos de un padre á</t>
  </si>
  <si>
    <t>de Guzman y Villoría, Santiago</t>
  </si>
  <si>
    <t>Santiago de Guzman y Villoría</t>
  </si>
  <si>
    <t>a general al mariscal de campo duaue de Mahon, gobernador de la plaza de Tortosa; y este gobierna á D. Santiago de Guzman y Villoría, coronel del regimiento provincial de Cuenca, promoviéndolo al mismo tiempo á brigadier de infantería. El Rey se ha servido nombrar para la intendencia de la provincia de Cuenca,</t>
  </si>
  <si>
    <t>de Henestrosa, Juan</t>
  </si>
  <si>
    <t>Juan de Henestrosa</t>
  </si>
  <si>
    <t>n Barrios* teniente coronel del de Villaviciosa; y el de cazadores voluntarios de España al coronel D. Juan de Henestrosa, teniente coronel del de húsares de María Luisa. En América. El Rey se ha servido nombrar para la plaza de fiscal de la audiencia de Puerto-Príncipe* en la isla de Cuba* vacante p</t>
  </si>
  <si>
    <t>de Heredia y Vcrgara, Francisco</t>
  </si>
  <si>
    <t>Francisco de Heredia y Vcrgara</t>
  </si>
  <si>
    <t>ombrar coronel del batallón de malicias disciplinadas de Mérida de Yucatán al capitán de infantería D. Francisco de Heredia y Vcrgara, subinspector de la primera división de milircias de pardos de la misma plaza; para esta resulta ál capitán graduado de infantería D. Alexandro Villajuana, y para la ayudantía que</t>
  </si>
  <si>
    <t>de Herrera y Retes, María</t>
  </si>
  <si>
    <t>María de Herrera y Retes</t>
  </si>
  <si>
    <t>á todas y qualesquiera personas que se contemplen con derecho ó acción á los bienes de la referida Doña María de Herrera y Retes, ó de D. Felipe Zapata su marido, para que en el término de 20 días, que por segundo se les concede, contados desde el ip de noviembre próximo pasado, acudan á dicho juzgado y cit</t>
  </si>
  <si>
    <t>de Herrera, Fernando</t>
  </si>
  <si>
    <t>Fernando de Herrera</t>
  </si>
  <si>
    <t>de acreedores del señor marques de Benavent, se ha mandado sacar á pública subasta, á solicitud de D. Fernando de Herrera, apoderado de dichos acreedores, ana casa sita en la ciudad de Barcelona, esquina á la calle de Escudellers y nueva de S. Francisco de Asís, núm. 93, tasada en 78,500 libras catal</t>
  </si>
  <si>
    <t>de Herrera, Miguel</t>
  </si>
  <si>
    <t>Miguel de Herrera</t>
  </si>
  <si>
    <t>do conferir el gobierno militar y político de la isla de la Margarita, vacante por fallecimiento de D. Miguel de Herrera, al coronel D. Antonio Montaña, comandante de los cuerpos veteranos y de milicias de Curnaná. Penetrada la real junta de hospitales General y de la Pasión de esta corte de los mas</t>
  </si>
  <si>
    <t>de HinoJosa, Martín</t>
  </si>
  <si>
    <t>Martín de HinoJosa</t>
  </si>
  <si>
    <t>ri4* En atención al mérito y servicios de D. Martin dé HinoJosa, catedrático de novísima recopilación en la universidad ce Salamancase ha servido S. M. concederle honores de oidor de la chanciiléría.de Valladclid. ‘ En América. En el regimient</t>
  </si>
  <si>
    <t>de Hita, Matías</t>
  </si>
  <si>
    <t>Matías de Hita</t>
  </si>
  <si>
    <t>la colegial de Antequera, en la diócesi de Málaga, vacante por muerte de D. Víctor Josef Tonier, á D. Matías de Hita. Él Rey se ha servido conferir en el regimiento de infantería de Hibernia compañía al teniente, graduado de capitán, D. Josef Fiñon, y en el del Príncipe tenencia al subteniente D</t>
  </si>
  <si>
    <t>de Horas Clemente, Simón</t>
  </si>
  <si>
    <t>Simón de Horas Clemente</t>
  </si>
  <si>
    <t>Francisco AntoriiojZca la de oficio, de D. Claudio y D. Es—&gt; téban Bouteiou la de agricultura, y de D. Simón de Horas Clemente la de intereses. ^ ... Lo&amp;.suscriptores á la obra Intitulada Colección de historias interesantes y divertidas acudirán á recoger el 7.0 tomo de ella, que es el i.° de ia historia de la</t>
  </si>
  <si>
    <t>de Hore, Alexandro</t>
  </si>
  <si>
    <t>Alexandro de Hore</t>
  </si>
  <si>
    <t>fantería ligera de voluntarios de Navarra se ha servido S. M. promover á capitán primero al segundo D. Alexandro de Hore; y á capitán segundo en el de Barbastro al teniente D. Pedro Faustino González. El Rey se ha servido promover á comisarios de guerra y de artillería á los comisarios de artillería</t>
  </si>
  <si>
    <t>de Hore, Vicente</t>
  </si>
  <si>
    <t>Vicente de Hore</t>
  </si>
  <si>
    <t>imo hospodar de Valaquia, ESPAÑA. Madrid 22 de mayo.. En atención á los méritos y circunstancias de D. Vicente de Hore, mi consejero de Indias, y asistente de Sevilla en comisión, he venido en concederle los honores de mi consejo de Estado. Tendráse entendido en él para su cumplimiento. En Aran ju</t>
  </si>
  <si>
    <t>de Ibarra, Francisco</t>
  </si>
  <si>
    <t>Francisco de Ibarra</t>
  </si>
  <si>
    <t>868 metropolitana de Caracas, vacante por fallecimiento de D. Francisco de Ibarra, á D. Narciso Coll y Prat, capiscol mayor de la catedral de Gerona. En el regimiento de infantería de la Havana se ha servido S. M. promover á comandante del tercer batallón ai co</t>
  </si>
  <si>
    <t>de Ibarra, Juan Antonio</t>
  </si>
  <si>
    <t>Juan Antonio de Ibarra</t>
  </si>
  <si>
    <t>diferentes destinos, Lo que $$ anuncia al público á fin de que los que resulten herederos del dicho D. Juan Antonio de Ibarra, y los demas que tengám algún derecho á su sucesión / acudan anre el cónsul de S. M. en Hafnburgo á legitimar sus personas, y rédibir1 los papeles V efectos que ha dexado el difun</t>
  </si>
  <si>
    <t>de Ibarrola, Vicente</t>
  </si>
  <si>
    <t>Vicente de Ibarrola</t>
  </si>
  <si>
    <t>os á D. Manuel Benito de Vivanco y D. Valentín Suender, y los seis segundos á D. Juan de Aróstegui, D. Vicente de Ibarrola, D. Cayetano de Gironda, D. Josef de Soto, D. Josef del Valle y D. Francisco Mingo Fuentes, habiendo franqueado uno la señora marquesa de San Simón, otro el Sr. D. Josef María Pui</t>
  </si>
  <si>
    <t>de Irigoyen, Miguel</t>
  </si>
  <si>
    <t>Miguel de Irigoyen</t>
  </si>
  <si>
    <t>exércitó á D. Hilarión de la Quintana , ayudante del regimiento de infantería de Buenos- A y res; á D. Miguel de Irigoyen, ayudante veterano del regimiento de milicias disciplinadas de caballería de la frontera de Buenos-Ayres: jfn?do -de capitán de milicias á D. Lucas Vivas, teniente del regimiento</t>
  </si>
  <si>
    <t>de Isla, Luis Manuel</t>
  </si>
  <si>
    <t>Luis Manuel de Isla</t>
  </si>
  <si>
    <t>..... El dia 11 del corriente falleció en esta corte, á los 61 años y 5 meses de edad, el limo. Sr. D. Luis Manuel de Isla, conde de Isla, caballero del hábito de Montesa. Después de haber sido colegial en el colegio mayor de S. Ildefonso de Alcalá, sirvió por espacio de 32 años los empleos de alcalr</t>
  </si>
  <si>
    <t>de Islas, Agustín</t>
  </si>
  <si>
    <t>Agustín de Islas</t>
  </si>
  <si>
    <t>ijVoluntarios de Cataluña en el Reyno de Mueva-España se ha servidou^ooiover á Capitán al Teniente^ D. Agustín de Islas ; á Teniente al Subteniente D. Diego Vicente Casta-¿' ños; y á Subtenientes al soldado distinguido D. Francisco Mancebo, y aí‘ Sargento del Regimiento de infantería de la Corona d</t>
  </si>
  <si>
    <t>de JBéckér, Conde</t>
  </si>
  <si>
    <t>Conde de JBéckér</t>
  </si>
  <si>
    <t>itz, = Vandanme. Capitulación de la fortaleza de Plasenburgo, ajustada entre el Conde de JBéckér, Coronel Comandante del 6.° Regimiento de infantería de linca : del Rey de Baviera, Comandante del bloqueo del fuerte j el M tyor de Comean , gefe del Estado mayor del cuerpo qúé bloquea e</t>
  </si>
  <si>
    <t>de Junco, Manuel María</t>
  </si>
  <si>
    <t>Manuel María de Junco</t>
  </si>
  <si>
    <t>ribanía, en el término de 30 dias. AVISOS. Por la audiencia de provincia del señor alcalde de corte D. Manuel María de Junco se cita y llama á todos los que tengan derecho á los bienes dimitidos por D. Pedro Casamayor y compañía, de esta corte, para que en el dia 28 del próximo mes de junio, á las 9 de</t>
  </si>
  <si>
    <t>egidor de esta villa, por la escribanía que exerce D. Juan Raya. Por la audiencia del señor alcalde D. Manuel María de Junco se ha mandado* sacar á pública subasta una casa que pertenece al concurso de D. Pablo Antonio Tarsis, en el real sitio de Aranjuez, conocida por la de los Faetones, tasada en 132,</t>
  </si>
  <si>
    <t>de Juzciz, Juan</t>
  </si>
  <si>
    <t>Juan de Juzciz</t>
  </si>
  <si>
    <t>aga ten,encía al subteniente IXSantiago Ruiz; y en el dé Cantabria subtenencia de bandera al cadete D. Juan de Juzciz. S. M. se ha servido conceder en el batallón de infantería de Canarias componía, primera y segunda tenencia y subtenencia de granaderos al capitán , .primero ,y segunda teniente ;</t>
  </si>
  <si>
    <t>de Kindelan, Juan</t>
  </si>
  <si>
    <t>Juan de Kindelan</t>
  </si>
  <si>
    <t>701 cal de campo D. Juan de Kindelan, y á otros varios oficiales de la misma nación. ... . Mr. Fernando Berthoud, individuo del instituto imperial y de la legión de Honor, ha fallecido el 20 del corriente en Groslay,</t>
  </si>
  <si>
    <t>de la Baliina, Manuel</t>
  </si>
  <si>
    <t>Manuel de la Baliina</t>
  </si>
  <si>
    <t>, ó piezas que se la aumenten ó quiten, adicionadas, con las tablas de los sólidos de cantería, por D. Manuel de la Baliina , arquitecto general de rentas reales &amp;c. Esta obrita es útilísima no solo á los profesores de arquitectura y de cantería, sino también á los dueños y administradores de casas. Se</t>
  </si>
  <si>
    <t>de la Barra, Pablo</t>
  </si>
  <si>
    <t>Pablo de la Barra</t>
  </si>
  <si>
    <t>a de Arequipa á capitán de granaderos al de fusileros D. Antonio Peña, y i esta resulta al teniente D. Pablo de la Barra; á ayudantes á los tenientes D. Mariano Ampuero y D. Leonardo Arbe ; á tenientes á los subtenientes D. Agustín Cáceres , D. Manuel Claudio Villauri, D. Mariano Gabriel Paredes, Do</t>
  </si>
  <si>
    <t>de la Barrera, Diego</t>
  </si>
  <si>
    <t>Diego de la Barrera</t>
  </si>
  <si>
    <t>misión que desempeña D. Manuel María Valverde. = Por el referido comisionado regio, y escribanía de D. Diego de la Barrera, se ha señalado el dia 30 del corriente para el remate de una casa, sita en la ciudad de Sevilla en la plaza del Pan, con accesoria en la cuesta del Rosario, núm. 10, tasado en 53</t>
  </si>
  <si>
    <t>de la Bastida, Gregorio</t>
  </si>
  <si>
    <t>Gregorio de la Bastida</t>
  </si>
  <si>
    <t>dignidad de chantre de la catedral de Sta. Marta, vacante por fallecimiento de D, Josef Troytiño, á D. Gregorio de la Bastida; y para la de tesorero que este obtenía á D. Josef Eulalio Ziosi, cura de aquel obispado: para una canongía de la de Valladoüd de Mechoacan, asimismo vacante por fallecimiento de</t>
  </si>
  <si>
    <t>de la Cámara, Manuel</t>
  </si>
  <si>
    <t>Manuel de la Cámara</t>
  </si>
  <si>
    <t>s de sala D. Manuel Fernandez, D. Ántero Henriquez Calderón y D. Josef Martínez: los gefes de trozo D. Manuel de la Cámara, D. Josef Fernandez, D. Manuel Abad, D. Manuel Ferrando, D. Alexandro Lagoa, D. Sebastian Fernandez de Navarrete, D. Carlos Van-Zoelen, y los caballeros seminaristas D. Luis Berga</t>
  </si>
  <si>
    <t>rnandez , los ge fes de sala D. Josef Martínez, D. Antero Henriquez Calderón, I&gt;. Alejandro Lagoa y D. Manuel de la Cámara: ios gefes de trozo D. Manuel Ferrando , D. Josef Fernandez, D. Carlos Van-Zoelen, D. Sebastian Fernandez de Navarrete y D. Luis Berganza; y los seminaristas D. Pedro Sánchez Pavó</t>
  </si>
  <si>
    <t>de la Camera, Alonso</t>
  </si>
  <si>
    <t>Alonso de la Camera</t>
  </si>
  <si>
    <t>Collado, teniente corregidor de esta villa, dada á instancia del poseedor del mayorazgo fundado per D. Alonso de la Camera, se han mandado sacar á pública subasta, pee término de go días, las fincas siguientes: una casa sita en La calle del Espejo, esquina á la del Recodo, núm. 2, manz. 421, tasada en</t>
  </si>
  <si>
    <t>de la Carrera, Martín</t>
  </si>
  <si>
    <t>Martín de la Carrera</t>
  </si>
  <si>
    <t>. Juan Álvarez de Paria, coronel del regimiento de cabal'ería de cazadores voluntarios de Españay á D. Martin de la Carrera, capitán de los esquadrones ligeros de la real brigada de Carabineros, También se ha servido S- M. conferir fel empleo de coronel del regimiento de reales guárdias Españolas al te</t>
  </si>
  <si>
    <t>de la Costa, Vicente</t>
  </si>
  <si>
    <t>Vicente de la Costa</t>
  </si>
  <si>
    <t>e de caxa de 11© rs. £ pagarse en moneda metálica, dado por la tesorería mayor de S. M. en favor de D. Vicente de la Costa, escribano dei número de esta villa, se servirá entregarlo en k escribanía de su cargo. El dia 4 de febrero último se ausentó de su casa Juan Duran, de edad de 49 aiícs, de unas d</t>
  </si>
  <si>
    <t>Valladolid y auditor del juzgado del Almirantazgo de Madrid, y escribanía única de él, del cargo de D, Vicente de la Costa, se radicaron y están pendientes los autos de testamentaría del Excmo. Sr. D. Estanislao de Veíasco y Coello, del consejo que fue de S. M. en el real y supremo de la Guerra, y ten</t>
  </si>
  <si>
    <t>Valladolid, y auditor del juzgado del Almirantazgo de Madrid, y escribanía única de él del cargo de D. Vicente de la Costa, se radicaron y están pendientes los autos de testamentaria del Excmo. Sr. D. Estanislao de Velasco y Coello¿ del consejo que fue de S. M. en el real y supremo de la Guerra, y ten</t>
  </si>
  <si>
    <t>alladolid, y auditor del juzgado del Almirantazgo de Madrid, y escribanía única de él, del cargo de D. Vicente de la Costa,, se radicaron y penden los autos de testamentaría del Excmo. Sr. D. Estanislao de Velasco y Coello, del consejo que fue de S-M. en el real y supremo de la Guerra, y teniente gene</t>
  </si>
  <si>
    <t>alladoiid, y auditor del juzgado del Almirantazgo de Madrid, y escribanía única de él, del cargo de D. Vicente de la Costa, se radicaron y penden los autos de tcstamenmía del Exorno. Sr. D. Estanislao de Velasco y Coello, del consejo que fue de S. M. en ei real y supremo de la Guerra, y teniente gener</t>
  </si>
  <si>
    <t>de la Cova, Dionisio</t>
  </si>
  <si>
    <t>Dionisio de la Cova</t>
  </si>
  <si>
    <t>mbrar para la dignidad de arcediano titular de la catedral de Almería, vacante por fallecimiento de D. Dionisio de la Cova, á D. Manuel Josef Marchane: para la canongía que este dexa ea la misma iglesia á D. Francisco Xavier Herrera y Blandino: pára otra de la catedral de Cuenca, vacante por ascenso d</t>
  </si>
  <si>
    <t>de la Creix, Joaquín</t>
  </si>
  <si>
    <t>Joaquín de la Creix</t>
  </si>
  <si>
    <t>dan propagarla en lo restante del reyno: eligió para este efecto, entre sus individuos de número, á D. Joaquín de la Creix y á D. Jcaquin Fusell, sugetos dignos de*toda confianza de la real Sociedad, y acreedores á su mayor aprecio, así por su laboriosidad y zelo patriótico, como por su ilustración y co</t>
  </si>
  <si>
    <t>de la Croix, Joaquín</t>
  </si>
  <si>
    <t>Joaquín de la Croix</t>
  </si>
  <si>
    <t>bidos en el real Instituto militar pestalozzíano , en clase ae discípulos observadores, los Señores D. Joaquín de la Croix y D. Joaquín Fusell, á pesar de ha— liarse completo.el número de 50 designado á la clase de observadores , y de que me habiavpropuesto no aümelftaWo. Esta demostración acreditará á es</t>
  </si>
  <si>
    <t>de la Cruz y Bahamonde, Nicolás</t>
  </si>
  <si>
    <t>Nicolás de la Cruz y Bahamonde</t>
  </si>
  <si>
    <t>que también está «n prensa, en octubre de este mismo ario. Víage de España, Francia é Italia , por D. Nicolás de la Cruz y Bahamonde, en los años de 1797 á 99, con la descripción de los objetos mas curiosos. El prólogo del primer tomo previene la distribución de la obra. Están impresos los 4 tomos primeros, y l</t>
  </si>
  <si>
    <t>de la Cuerda, Francisco</t>
  </si>
  <si>
    <t>Francisco de la Cuerda</t>
  </si>
  <si>
    <t>sagrante el Excmo. y Emo. Sr. Cardenal ae Scalaj arzobispo de Toledo, y asistentes los limos. Sres. D. Francisco de la Cuerda, obispo que fue de Paerto- Rico, y D. Atanasio Puyal y Poveda, auxiliar de Madrid, y padrino la comunidad del monasterio de Valparaíso, de donde era hijo el dicho Sr. limo, consag</t>
  </si>
  <si>
    <t>de la Cuesta, Andrés</t>
  </si>
  <si>
    <t>Andrés de la Cuesta</t>
  </si>
  <si>
    <t>25 0 nfesiacciones propias deberán hacerlo constar en la secretaría del citado banco, del cargo de D. Andrés de la Cuesta, exhibiendo las mismas acciones, &lt;5 entregando testimonio suficiente que acredite su pertenencia, y los números que comprehendan, y si son adquiridas por endosos, á quien están ll</t>
  </si>
  <si>
    <t>de la Cueva, Alexo</t>
  </si>
  <si>
    <t>Alexo de la Cueva</t>
  </si>
  <si>
    <t>D. Josef Antonio Tuñon y Llamas: para la ración de este á Don Nicolás Merino; y para esta vacante á D. Alexo de la Cueva, cura de aquel obispado: para la tercera á D. Juan Delgado; y para la ración que este dexa á D. Josef Vicente Beltran, conde de Sta. Rosa, cara asimismo de dscho obispado: para la</t>
  </si>
  <si>
    <t>de la Dehesa, Juan</t>
  </si>
  <si>
    <t>Juan de la Dehesa</t>
  </si>
  <si>
    <t>acerca de lo sublime y lo bello, escrita en ingles por Edmundo Burke, y traducida al castellano por Don Juan de la Dehesa, catedrático de leyes en la universidad de Alcalá. En esta obr^f se explica qué es el gusto, en qué se diferencia el bueno del malo, de dónde nace' que sean tan varios los de los</t>
  </si>
  <si>
    <t>de la Escalera, Jóaqúin</t>
  </si>
  <si>
    <t>Jóaqúin de la Escalera</t>
  </si>
  <si>
    <t>En execucion de las órdenes sobre el establecimiento de cementerios, él alcalde mayor de está villa D. Jóaqúin de la Escalera , de acuerdo con el'llmoi Sr. D. Ramón Falcon y Salcedo, obispo de Cuenca, ha dispuesto y activado I3 construcción del de este pueblo conforme á las reglas e tebiecidas por las re</t>
  </si>
  <si>
    <t>de la Fuente, Romualdo</t>
  </si>
  <si>
    <t>Romualdo de la Fuente</t>
  </si>
  <si>
    <t>. '■ En el regimiento de infantería de Mallorca se ba servido el Rey conceder ayudantía al teniente D. Romualdo de la Fuente; y el empleo de capitán primero en el primer batallón de voluntarios de Barcelona al capitán segundo D. Manuel de Salrquet. S. M. se ha servido nombrar para el corregimiento de la</t>
  </si>
  <si>
    <t>de la Gándara Gereda, Estéban</t>
  </si>
  <si>
    <t>Estéban de la Gándara Gereda</t>
  </si>
  <si>
    <t>de Zaragoza, vacante por promoción de D. Salvador Puicercus á canongía de la catedral de Huesca, á D. Estéban de la Gándara Gereda: á D. Pablo Gil Sancho para una capellanía real de nuestra señora del Portillo de Zaragoza: á 1&gt;. Juan Sala y Riera para un beneñcio de la parroquial de Alcalá de Chibert, diócesi</t>
  </si>
  <si>
    <t>de la Guerra, Dionisio</t>
  </si>
  <si>
    <t>Dionisio de la Guerra</t>
  </si>
  <si>
    <t>villa de Salmeronciüos en la diócesi de Cuenca, vacante por muerte de D. Josef Prudencio Vaquero, á D. Dionisio de la Guerra. £1 rey se ha servido conceder en el regimiento de infantería de Cantabria subtenencia de bandera al cadete D. Francisco Sedaño. Ea el regimiento de caballería del Rey se ha servi</t>
  </si>
  <si>
    <t>de la Guerra, Ramón</t>
  </si>
  <si>
    <t>Ramón de la Guerra</t>
  </si>
  <si>
    <t>vido conceder en los regimientos de infantería de Zamora y Guadalaxara tenencias á los subtenientes D. Ramón de la Guerra y D. Leandro Zambrana, y subtenencias de bandera a los cadetes D. Ig</t>
  </si>
  <si>
    <t>de la Iglesia, Manuel</t>
  </si>
  <si>
    <t>Manuel de la Iglesia</t>
  </si>
  <si>
    <t>eniente dé Fragata D. Cándido la Sala, y D. Josef Posadas, los Alféreces de Navio D. Benito Correa, D. Manuel de la Iglesia , D. Joaquín Toledo y D. Josef Miranda, y el de Fragata D. Federico la Cosle noche fué malísima. La tropa la pasd sobre las armas, sin que sé óptase la menor queja.f Al día Siguie</t>
  </si>
  <si>
    <t>de la Llave, Rafael</t>
  </si>
  <si>
    <t>Rafael de la Llave</t>
  </si>
  <si>
    <t>ogado de la audiencia de Buenos-Ayres. Para oidor decano de la de Goatemala al fiscal de la de Cuba D. Rafael de la Llave; y para oidor supernumerario al asesor de la provincia de Comayagua D. Antonio Serrano Polo. Ultimamente ha nombrado S. M. para la alcaldía mayor de Atitan y Tepenatitan, en el re</t>
  </si>
  <si>
    <t>la plaza de fiscal de la audiencia de Puerto-Príncipe* en la isla de Cuba* vacante por promoción de D. Rafael de la Llave* á D. Josef Tomas de Zelaya, auditor de guerra que fue de la capitanía general de Guatemala; y para el corregimiento de Zipaquira, en el vireynato de Santa Fe, á D. Henriqne Umaña</t>
  </si>
  <si>
    <t>de la Madrid y Montes, Estéban</t>
  </si>
  <si>
    <t>Estéban de la Madrid y Montes</t>
  </si>
  <si>
    <t>cer postura á dichas fincas acuda á la casa habitación del referido Comisionado. Por providencia de D. Estéban de la Madrid y Montes, Comisionado Real para la venta de bienes eclesiásticos en la Diócesis de Toledo , se ha señalado el dia 30 y 31 del corriente para el remate de las fincas siguientes. Una dehesa</t>
  </si>
  <si>
    <t>de la Madrid y Montes, Esteban</t>
  </si>
  <si>
    <t>Esteban de la Madrid y Montes</t>
  </si>
  <si>
    <t>o con señalamiento de 30 di is para la puja del quarto. Quien quisiere hacer esta mejora acuda ante D. Esteban de la Madrid y Montes, comisionado real en Toledo, dentro de'dicho término, que ha empezado á correr desde el 4 del mes actual. Por providencia de D. Francisco Antonio Santos, comisionado regio en la c</t>
  </si>
  <si>
    <t>as partes de la tasación á pagar en metálico. Quien quisiere mejorar esta postura lo executará ante D. Estéban de la Madrid y Montes, juez comisionado real en dicha ciudad; en la inteligencia de que está señalado el dia 25 del corriente para la celebración del remate. Por providencia de D. Antonio Basilio de Ac</t>
  </si>
  <si>
    <t>ajos de J 'ippoo - Saib. ■ ——- I ■ 1 ■ »«——■——mmm^————— VENTAS . J.¡0.DICíAI&gt;ES. Por providencia de D. Esteban de la Madrid y Montes, juez comisionado reaj para la venta de bienes eclesiásticos secularizados en Ja diócesi de Toledo , se ha mandado sacar a pública subasta, por término de 30 dias contados desde e</t>
  </si>
  <si>
    <t>por la escribanía de la misma comisión, que desempeña D. Manuel María Val verde. Por providencia de D. Estéban de la Madrid y Montes, juez comisionado real en Toledo, se ha señalado el día 29 de este mes para el remate de una dehesa de pasto y labor llamada de Monteagudo, situada á un quarto de legua de dicha c</t>
  </si>
  <si>
    <t>cutará por la escribanía de la comisión, que desempeña D. Pedro Fernandez Nieto. Por previdencia de D. Esteban de la Madrid y Montes, comisionado real en Toledo, se sacan á pública subasta, por término de 30 días contados desde el 7 del corriente, las fincas siguientes: un olivar llamado Santo-rapao en término</t>
  </si>
  <si>
    <t>de la Madrid y Montes, Estébán</t>
  </si>
  <si>
    <t>Estébán de la Madrid y Montes</t>
  </si>
  <si>
    <t>ámiedto dero dias para fa admisión de. la puja dé! quarto: Quien quisiere hacerla ló'^xecutará ante D. Estébán dé la Madrid y Montes , comisionado regio én dicha ciudad de Toledo , por ia:¡escribanía qué éxerce D. Lorenzo Montero. Por providencia de D. Damian Martínez Cepeda , subdelegado parada venta de bienes</t>
  </si>
  <si>
    <t>, lo executará por la escribanía de la comisión, que desempeña Gabriel Martínez. Por providencia de D. Estéban de la Madrid y Montes, comisionado real en Toledo, se ha señalado el dia 30 del presente para el remate de varias lincas, entre ellas las siguientes: una dehesa de pasto, labor y monte pardo, llamada T</t>
  </si>
  <si>
    <t>se, con los anteriores* en el despacho de la imprenta real. RENTAS JUDICIALES. „ Por providencia de D. Esteban de la Madrid y Montes, juez comisionado real en la vicaría general de Toledo, se ha señalado el día 4 del corriente para el remate de varias fincas, entre ellas las siguientes: Una dehesa de pasto, lab</t>
  </si>
  <si>
    <t>de la Madrid, Esteban</t>
  </si>
  <si>
    <t>Esteban de la Madrid</t>
  </si>
  <si>
    <t>r comercio, riqueza ni felicidad permanente en ningún estado. VENTAS JUDICIALES. Por providencia de D. Esteban de la Madrid, juez comisionado real en la ciudad de Toledo, se sacan á pública subasta, por el término de 30 días, las fincas siguientes, que pertenecen á capellanías colativas. Una dehesa^ de</t>
  </si>
  <si>
    <t>de D* Juan Antonio, Diaz Noriega, en donde se informará de sus pormenores. ■ ; A Por providencia de D. Esteban de la Madrid, juez comisionado real en la ciudad de Toledo, se sacan á. pública subasta, por el término,de 30 dias contados desde el 10 del presente, 1.80 tierras sitas en termino de la Villa</t>
  </si>
  <si>
    <t>de la Madrid, Tomás</t>
  </si>
  <si>
    <t>Tomás de la Madrid</t>
  </si>
  <si>
    <t>...... D. Francisco Durango é hijo mayor. En Zamora........... D. Josef Ligero. En Zaragoza........ D. Tomas de la Madrid. En Zeuta............... D. Pedro Huguet, comisionado subalterno del de Cádiz. Para dar lugar á las rifas de varias alhajas de gusto y valor, que la fervorosa innata caridad de ci</t>
  </si>
  <si>
    <t>Valladolid....... D.Francisco Durango. En Zamora............ D. Rafael Suarez. En Zaragoza......... D. Tomás de la Madrid. En Zeüia ............. D. Pedro Hugnet, comisionado subalterno del de Cádiz. En ia gazeta extraordinaria del 13 del corriente, ai fin del artículo 4.0 del armisticio, dónde dice</t>
  </si>
  <si>
    <t>ía. En Valladolid..... D. Francisco Durango. En Zamora...... . D. Rafael Suarez. En Zaragoza....... D. Tomas de la Madrid. En Zenta.............. D. Pedro Huguet, comisionado subalterno del de Cádiz. VENTA JUDICIAL. Quien quisiere hacer postura á tifca casa sita en la calle de la Abada de esta corte,</t>
  </si>
  <si>
    <t>de la Mata, Ángel Tomás</t>
  </si>
  <si>
    <t>Ángel Tomás de la Mata</t>
  </si>
  <si>
    <t>ra las prestameras vacantes en la diócesi de Cuenca, la de la villa de Cervera,por fallecimiento de D. Angel Tomas de la Mata; da: deL lugar de Mohorte, anexo ai de la Melgosa, por muerte de D. Salvador Saiz; la de la villa de Versea, por fallecimiento de D. Pedro Joaquín DiazjHa del lugar de Arcas, por</t>
  </si>
  <si>
    <t>de la Mata, Juan Antonio</t>
  </si>
  <si>
    <t>Juan Antonio de la Mata</t>
  </si>
  <si>
    <t>ipe tenencia al subteniente D. Josef Rodríguez; y en el de. Murcia subtenencia de bandera al cadete D. Juan Antonio de la Mata. Continuación de vistas del real monasterio de S. Lorenzo del Escorial, 7.a, 8.a y p.a, que representan una parte del coro desde la entrada conventual,, part.e del claustro princi</t>
  </si>
  <si>
    <t>de la Oyuela, Francisco Antonio</t>
  </si>
  <si>
    <t>Francisco Antonio de la Oyuela</t>
  </si>
  <si>
    <t>actividad para echar otro en ei Vístula. ESPAÑA. Madrid \ 2 de junio. S. M. se ha servido nombrar á D. Francisco Antonio de la Oyuela para el arcedianato de Cervera, dignidad de la catedral de Tortosa, vacante por muerte de D. Jayme Gaya: á D. JuanBecerril é Hinojosa para una canon</t>
  </si>
  <si>
    <t>de la Parra, Antonio</t>
  </si>
  <si>
    <t>Antonio de la Parra</t>
  </si>
  <si>
    <t>, vacante por promoción de D. Ildefonso Crespo Manjon á plaza de oidor del mismo tribunal, nombro á D. Antonio de la Parra, fiscal del juzgado del cuerpo de ingenieros en Alcalá de Henares; y para la vara de alcaide mayor de Villarobledo, vacante por haber cumplido su término y año mas de próroga en e</t>
  </si>
  <si>
    <t>de la Paz López y Bago, Manuel</t>
  </si>
  <si>
    <t>Manuel de la Paz López y Bago</t>
  </si>
  <si>
    <t>ritense, ha solicitado plaza de discípulo observador para el bachiller de filosofía y derecho civil D. Manuel de la Paz López y Bago; y el Serme. Sr. Príncipe</t>
  </si>
  <si>
    <t>de la Paz, María</t>
  </si>
  <si>
    <t>María de la Paz</t>
  </si>
  <si>
    <t>otros 4 censos afectos sobre las mismas casas: uno de 1699 rs. en favor de la capellanía que fundó Doña María de la Paz:otro de 400 ducados á favor de las memorias y capellanías que ea S. Martin de esta corte fundó Doña Catalina de Medina: otro de 200 ducados á favor de Ja cofradía de ánimas de la</t>
  </si>
  <si>
    <t>de la Piedra, Andrés</t>
  </si>
  <si>
    <t>Andrés de la Piedra</t>
  </si>
  <si>
    <t>ñoras Doña María Luisa Bendicho de Virues, gobernadora de está ciudad, y Doña Josefa María, hija de Don Andrés de la Piedra, juez presidente de la junta de arrecife, que merecieron el aplauso de todos los asistentes. Por lo qual, y para estímulo de las demas señoras de la ciudad, acordó la junta que am</t>
  </si>
  <si>
    <t>de la Piedra, Benito</t>
  </si>
  <si>
    <t>Benito de la Piedra</t>
  </si>
  <si>
    <t>.... D. Ramón de Llordella é hijo. En Burgos............. D. Andrés Frayle. En Cádiz............... D. Benito de la Piedra. • En Cartagena....... D. Bernardo Elizalde. En Ciudad-Real.. D. Ramón Antonio Pico. En Córdoba........... Sres. Barcia padre é hijo. En la Coruña....... D. Manuel Elzaurdi. En Cu</t>
  </si>
  <si>
    <t>..... . D. Ramón de Llordelia é hijo. En Burgos........... D. Andrés Frayle. En Cádiz.............. D. Benito de la Piedra. En Cartagena....... D. Bernardo Elizalde. En Ciudad-Real.. D. Ramón Antonio Pico. En Córdoba,.,...,... Sres. Barcia padre é hijo. En la Coruiia....... D. Manuel Elzaurdi. En Cuen</t>
  </si>
  <si>
    <t>a....... D. Ramón de Llordella é hijo.En Burgos........... D. Andrés Frayle: En Cádiz...............D. Benito de la Piedra. En Cartagena....... D;- Bernardo Elizalde.En Ciudad-Re al.. D- Ramón Antonio Pico. En Córdoba.......... Sres. Barcia padre é hijo.En la Coruna;...... D: Manuel Elzaurdi. En Cuenc</t>
  </si>
  <si>
    <t>de la Piedra, Juan</t>
  </si>
  <si>
    <t>Juan de la Piedra</t>
  </si>
  <si>
    <t>nzano, manifestando los progresos prácticos de sus discípulos D. Francisco de Paula Colom y Osorio, D. Juan de la Piedra, D. Vicente Fernandez de la Pradilla ,D. Juan Josef Menendez y D. Alexo Rubalcava en un plano del arrecife, que desde esta ciudad parte á la de Xerez, levantado por dichos jóvenes</t>
  </si>
  <si>
    <t>de la Plaza, Manuel</t>
  </si>
  <si>
    <t>Manuel de la Plaza</t>
  </si>
  <si>
    <t>ecutará por la escribanía de la comisión que desempeña D. Josef Sánchez de Arce. Por providencia de D. Manuel de la Plaza y barias, comisionado regio para la venta de bienes eclesiásticos secularizados en la diócesi de Albarracin, se ha señalado el día 23 del corriente para el remate de las fincas sigu</t>
  </si>
  <si>
    <t>de la Puerta, Juan</t>
  </si>
  <si>
    <t>Juan de la Puerta</t>
  </si>
  <si>
    <t>der tenencia al alférez D. Juan de Fuentes; y en el de Montesa empleo de alférez al portaestandarte D. Juan de la Puerta. También se ha servido S. M. conferir compañía en el regimiento de dragones de Pavía al ayudante D Rafael Mauduit; tenencia al alférez D. Cristóbal Frontín; empleo de alférez al p</t>
  </si>
  <si>
    <t>de la Quadra, Ambrosio</t>
  </si>
  <si>
    <t>Ambrosio de la Quadra</t>
  </si>
  <si>
    <t>a. S. M. se ha servido conferir la sargentía mayor del primer batallón de voluntarios de Cataluña á D. Ambrosio de la Quadra, capitán primero del de voluntarios de Navarra: tenencias en los regimientos de infantería de Mallorca y Jaén á los subtenientes de granadero? D. Antonio Guinea y D. Antonio Conti</t>
  </si>
  <si>
    <t>de la Quadra, Miguel Ignacio</t>
  </si>
  <si>
    <t>Miguel Ignacio de la Quadra</t>
  </si>
  <si>
    <t>rguer, por la escribanía de D. Manuel López de Ribas. Habiendo fallecido en la ciudad de Montevideo D. Miguel Ignacio de la Quadra, de quien quedó, con el derecho,de cumplir su última voluntad D. Juan Jcsef de Ortiz, cura y vicario de dicha ciudad, y mandado por ella dar de sus bienes 500 pesos á Doña Ramona</t>
  </si>
  <si>
    <t>de la Riva, Juan Antonio</t>
  </si>
  <si>
    <t>Juan Antonio de la Riva</t>
  </si>
  <si>
    <t>ijada y Ovejero, á D. Melchor Josef de Foncerrada: para la de alcalde del crimen, que este dexa , á D. Juan Antonio de la Riva, oidor de la de Guadalaxara; y para esta resulta á D. Juan de Sousa Viana, abogado de la audiencia de Buenos-Ayres. Para oidor decano de la de Goatemala al fiscal de la de Cuba D.</t>
  </si>
  <si>
    <t>de la Sota, Gregorio</t>
  </si>
  <si>
    <t>Gregorio de la Sota</t>
  </si>
  <si>
    <t>a los curatos rurales de Blasco Ñuño y Madrigalejo, en el obispado de Avila, vacantes por muerte de D. Gregorio de la Sota, á D. Francisco Xavier Govantes. El Rey se ha servido promover á brigadier de infantería de sus exércitos al coronel D. Josef Conzalez, comandante del batallón de voluntario* de T</t>
  </si>
  <si>
    <t>de la Torre, Francisco</t>
  </si>
  <si>
    <t>Francisco de la Torre</t>
  </si>
  <si>
    <t>de orden de S. M. En la de dibuxo, del cargo de D^ Gregorio Sánchez, á D. Luis Negri al primero, á D. Francisco de la Torre al segando, á D. Josef Salazar al tercero. En la de lengua francesa, del cargo de D. Dionisio Pelleport, á Don Josef Chacón al primero, á D. Francisco Melgarejo al segundo. En la</t>
  </si>
  <si>
    <t>de la Torre, Gerónimo</t>
  </si>
  <si>
    <t>Gerónimo de la Torre</t>
  </si>
  <si>
    <t>errera y Vailehermoso; á capítan de carabineros á D. Manuel Bracamonte; á tenientes á los alféreces D. Gerónimo de la Torre y D. Joaquín Acasusoj á alféreces á i®s cadete»</t>
  </si>
  <si>
    <t>de la Vega, Pedro Alonso</t>
  </si>
  <si>
    <t>Pedro Alonso de la Vega</t>
  </si>
  <si>
    <t>. M. se ha servido nombrar para una canongía de la metropolitana de Zaragoza, vacante por muerte de D. Pedro Alonso de la Vega, á D. Ramón María Sevillano, oidor de la audiencia de Aragón: á I&gt;. Josef Bellido para un beneficio patrimonial de la parroquial de Ainzon, diócesis de Zaragoza, vacante por falle</t>
  </si>
  <si>
    <t>de Laborde, Alexandro</t>
  </si>
  <si>
    <t>Alexandro de Laborde</t>
  </si>
  <si>
    <t>rán hasta el dia i.° del propio nies de agosto. LIBROS. Viage pintoresco é histórico de España, por D. Alexandro de Laborde, y una sociedad de literatos y artistas de Madrid, dedicado al Serenísimo Señor Principé Q-eneralísimo Almirante &amp;c. En dos ocasiones distintas se ha anunciado al público! la edic</t>
  </si>
  <si>
    <t>de Landaburu, Juan de Dios</t>
  </si>
  <si>
    <t>Juan de Dios de Landaburu</t>
  </si>
  <si>
    <t>gosto en las escuelas pias del Avapies se presentaron los caballeros seminaristas del mismo colegio D. Juan de Dios de Landaburu y D. Cayetano Fantini y Hore, baxo la dirección dé su maeS'tro de matemáticas el P. Justo Ortiz de S. Juan Bautista, á“examen publico sobre la teórica y práctica de la aritmética, álg</t>
  </si>
  <si>
    <t>de Landazuri, Manuel</t>
  </si>
  <si>
    <t>Manuel de Landazuri</t>
  </si>
  <si>
    <t>ro de 30© á su marido D. Francisco de Perea: otro de 50© a D. Domingo de Barrenengoa: otro de 40© á D. Manuel de Landazuri: otro de 40© por mitad 4 Doña Josefa y Doña Ignacia de Landazuri: otro de 2oí) 4 cada uno de sus quatro sobrinos y sobrinas, hijos de los insinuados D. Francisco de Perea y Doña J</t>
  </si>
  <si>
    <t>de Lara, Ignacio María</t>
  </si>
  <si>
    <t>Ignacio María de Lara</t>
  </si>
  <si>
    <t>de granaderos al de fusileros D. Bartolomé de Ribera; á capitanes de fusileros al teniente agregado D. Ignacio María de Lara,yá los subtenientes D. Juan Nepomuceno Acevedo, de granaderos, y D. Juan Nepomuceno Tenreyro, y ai subteniente de granaderos del batallón de milicias disciplinadas de Campeche D.</t>
  </si>
  <si>
    <t>de Larrauri, Manuel</t>
  </si>
  <si>
    <t>Manuel de Larrauri</t>
  </si>
  <si>
    <t>r postura á qualquiera de ellas, lo executará por la escribanía de dicha subdelegacion, al cargo de D. Manuel de Larrauri, en la citada villa de Bermeo. Por el juzgado de la subdelegacion real del cargo del Lie. D. Pedro Juan Barté, alcalde mayor de la villa de Buytrago, se ha señalado el dia 2 1 de</t>
  </si>
  <si>
    <t>de Larrea, Miguel</t>
  </si>
  <si>
    <t>Miguel de Larrea</t>
  </si>
  <si>
    <t>ción á sus buenos servicios. En atención á los distinguidos y particulares servicios contraídos por D. Miguel de Larrea, cónsul general que fue de España en Londres, ha venido el Rey en concederle los honores de intendente de exército. El consulado de Mallorca ha participado al Sermo. Sr. Príncipe</t>
  </si>
  <si>
    <t>de las Casas VD, Francisco</t>
  </si>
  <si>
    <t>Francisco de las Casas VD</t>
  </si>
  <si>
    <t>, el P. colegial Fr. Ciríaco Clavero, .del orden calzado déla Merced, D. Rafael Tenorio y ¡Herrera, D. Francisco de las Casas VD. Tomas Salazar, Don Mariano..Fernandez^. D. Manuel Flor an.es y D. Josef González dei Valle fueron exáminados.de aritmética, álgebra, geometría y trigonometría plana, y premiados</t>
  </si>
  <si>
    <t>de las Cuevas, Félix</t>
  </si>
  <si>
    <t>Félix de las Cuevas</t>
  </si>
  <si>
    <t>a de Granada, y comisionado por la misma: D. Melchor Andarió, de la referida comisión de literatos: D. Félix de las Cuevas, abogado de los reales consejos: D. Jaan Kearney: D. Josef Manuel del Rio: D. Eugenio de Aravaca, médico: el P. Alexandro Martínez del Patrocinio de la VE gen, de las escuelas pía</t>
  </si>
  <si>
    <t>de las Heras, Joaquín</t>
  </si>
  <si>
    <t>Joaquín de las Heras</t>
  </si>
  <si>
    <t>o y Calero: para una media - ración, vacante en la iglesia catedral de Cuenca, por fallecimiento de D. Joaquín de las Heras, á D. Gerónimo Requejo: para otra media-ración del lugar de Masueco, en la diócesis de Salamanca, Vacante por muerte de D. Francisco Yañez, á D. Ignacio Juan Criado ; y para una c</t>
  </si>
  <si>
    <t>de las Llamosas, Lorenzo</t>
  </si>
  <si>
    <t>Lorenzo de las Llamosas</t>
  </si>
  <si>
    <t>ión estoyea, 4,2 rs.; y 4.0 tributo obsequioso con que sé pretende instruir una noble juventud, por D. Lorenzo de las Llamosas, á 2§ rs. Observaciones sobre los juegos de naypes, y estragos que ocasionan los prohibidos justísimamente por el gobierno. Obra original, en la que se presentan del modo mas senc</t>
  </si>
  <si>
    <t>de Lasarte, Diego</t>
  </si>
  <si>
    <t>Diego de Lasarte</t>
  </si>
  <si>
    <t>departamento de Irun, en Navarra, se han mandado subastar las fincas siguientes: la cape* ilanía de D. Diego de Lasarte, fundada en la parroquial de la universidad de Lezo, compuesta de una casa, 224 posturas de tierra labrante, 49 de baldía, 1362^ dé campo libre, con inclusión del terreno que ocup</t>
  </si>
  <si>
    <t>de Ledos, Agustín Matías</t>
  </si>
  <si>
    <t>Agustín Matías de Ledos</t>
  </si>
  <si>
    <t>otra de merced de la de Valladolid de Mechoacan, vacante por muerte de D. Manuel Nicolás de Lezo, á D. Agustín Matías de Ledos: para la Ración que este dexa á D. Miguel Josef Aldayy para la media ración de este á D^ Josef María Zarco, cura en aquella diócesi; y para otra media ración de la misma catedral,</t>
  </si>
  <si>
    <t>de León, Rafael</t>
  </si>
  <si>
    <t>Rafael de León</t>
  </si>
  <si>
    <t>e sus respectivos cuerpos; á teniente y subteniente en las dos compañías de gastadores de Verapaz á D. Rafael de León y D. Francisco _ Cueliar, sargentos segundos de las mismas; y á teniente coronel del esquadron de dragones de S. Miguel al capitán D. Antonio Saldos. BOTANICA. Aoenas manifestó el cél</t>
  </si>
  <si>
    <t>de Lexarza, Juan</t>
  </si>
  <si>
    <t>Juan de Lexarza</t>
  </si>
  <si>
    <t>eniente de granaderos al de fusileros D. Ventura Castañeda; á teniente al subteniente de granaderos D. Juan de Lexarza; á subteniente de granaderos al de fusileros D. Ruperto Mier, y á subtenientes al sargento primero distinguido D. Francisco Prats y al soldado distinguido D. Vicente Legorburo. ..</t>
  </si>
  <si>
    <t>de Ley, Manuel</t>
  </si>
  <si>
    <t>Manuel de Ley</t>
  </si>
  <si>
    <t>dete D. Francisco Octavio de Toledo; y en el de Valencia compañía al teniente, graduado de capitán, D. Manuel de Ley va. TT ^1 Sermo. Sr. Príncipe de la Paz, Generalísimo Almirantease ha servido conceder plazas de discípulos observadores en el real instituto militar Pestalozziano á D. Joaquín Ni</t>
  </si>
  <si>
    <t>de Lezo, Manuel Nicolás</t>
  </si>
  <si>
    <t>Manuel Nicolás de Lezo</t>
  </si>
  <si>
    <t>uis Ignacio de Mendoza: para otra de merced de la de Valladolid de Mechoacan, vacante por muerte de D. Manuel Nicolás de Lezo, á D. Agustín Matías de Ledos: para la Ración que este dexa á D. Miguel Josef Aldayy para la media ración de este á D^ Josef María Zarco, cura en aquella diócesi; y para otra medi</t>
  </si>
  <si>
    <t>de Líbrate, Francisco</t>
  </si>
  <si>
    <t>Francisco de Líbrate</t>
  </si>
  <si>
    <t>y 457, y son á saber: un censo de 4© ducados de principal, perteneciente al patronato y memoria de D. Francisco de Líbrate: una fianza hasta en cantidad de 1$ ducados á la seguridad de la tutela y curaduría que fue. cargada á D¿ Miguel del Valle de las personas y bienes de los hijos menores de D. Nico</t>
  </si>
  <si>
    <t>de Llanes, Tomás</t>
  </si>
  <si>
    <t>Tomás de Llanes</t>
  </si>
  <si>
    <t>a universidad de Cervera; D. Ramón Sarrais, médico y doctor en cirugía; D. Eugenio Aravaca, médico; D. Tomas de Llanes, teniente coronel de milicias; D. JuanAlmeyda; D. Manuel García Várela; D. Manuel Malo y Reyes; D. Blas Ostoloza, doctor en teología y cánones; D. Domingo Parrondo y Ortiz, y D. F</t>
  </si>
  <si>
    <t>o Manuel Diaz, maestro de primeras letras de Murcia: el teniente coronel de granaderos Provinciales D. Tomas de Llanes: D. Josef María Vallejo, catedrático de matemáticas del real seminario de nobles: D. Francisco Xavier Cavanes, abanderado de reales guardias Walonas: D. Guillermo Xaramilio, indiv</t>
  </si>
  <si>
    <t>de Llordelia, Ramón</t>
  </si>
  <si>
    <t>Ramón de Llordelia</t>
  </si>
  <si>
    <t>eras Gómez. En Badajoz*........ D. Francisco Fernandez de la Peña y S. Miguel* En Barcelona...... . D. Ramón de Llordelia é hijo. En Burgos........... D. Andrés Frayle. En Cádiz.............. D. Benito de la Piedra. En Cartagena....... D. Bernardo Elizalde. En Ciudad-Real.. D. Ramón Antonio Pico. En</t>
  </si>
  <si>
    <t>de Llordella, Ramón</t>
  </si>
  <si>
    <t>Ramón de Llordella</t>
  </si>
  <si>
    <t>ueras Gómez. En Badajoz,........ D. Francisco Fernandez de la Peña y S. Miguel. En Barcelona....... D. Ramón de Llordella é hijo. En Burgos............. D. Andrés Frayle. En Cádiz............... D. Benito de la Piedra. • En Cartagena....... D. Bernardo Elizalde. En Ciudad-Real.. D. Ramón Antonio Pico</t>
  </si>
  <si>
    <t>as- Gómez. En Badajoz......... D. Francisco Fernandez' de la Peña y S. Miguela En. Barcelona....... D. Ramón de Llordella é hijo.En Burgos........... D. Andrés Frayle: En Cádiz...............D. Benito de la Piedra. En Cartagena....... D;- Bernardo Elizalde.En Ciudad-Re al.. D- Ramón Antonio Pico. En</t>
  </si>
  <si>
    <t>de Llórente, Juan Antonio</t>
  </si>
  <si>
    <t>Juan Antonio de Llórente</t>
  </si>
  <si>
    <t>Demostración del sentido verdadero de las autoridades de que se vale el Dr. D. Juan Antonio de Llórente, canónigo de la catedral de Toledo,en el tomp i.® de las Noticias históricas de las tres provincias vascongadas, y de lo que en verdad resulta de los historiadores que cita, con respecto so</t>
  </si>
  <si>
    <t>de Lomaña, Ramón</t>
  </si>
  <si>
    <t>Ramón de Lomaña</t>
  </si>
  <si>
    <t>stro ilustrísimo y dignísimo prelado, él Sr. D. Juan Ágapito Ramírez de Arellano, obispo de Gerona, D. Ramón de Lomaña, alcalde mayor de Camprodon, regente de la jurisdicción real de esta villa. El concurso del estado eclesiástico, secular.y regular,’y dé las demas personas distinguidas, y de un i</t>
  </si>
  <si>
    <t>de Lomas, Antonio María</t>
  </si>
  <si>
    <t>Antonio María de Lomas</t>
  </si>
  <si>
    <t>ecur tara por la escribanía de la comisiónque desempeña D* Josef López Martínez, Por providencia de D, Antonio María de Lomas se ha sacado á subasta un olivar,, sito en la Cañada de Torre, término de la villa de Martos, de caber 13 aranzadas y 3 partes de otra, y en su extensión 410 olivos,apreciado en 5</t>
  </si>
  <si>
    <t>de Lomas, Matías Gregorio</t>
  </si>
  <si>
    <t>Matías Gregorio de Lomas</t>
  </si>
  <si>
    <t>nte. D. Antonio Díaz, en Paniza, campo de Cariñena. D. Manuel Mancharas, en la Puebla de Montalvan. D. Matías Gregorio de Lomas, en Minglanilla. D. Joaquín Valero, en la Xara, partido de S. Clemente. D. Joaquín Fulgencio Lizoain, en Ppeote la Reyna,y otros varios apasionados de este descubrimiento. No pued</t>
  </si>
  <si>
    <t>de Lomba, Juan</t>
  </si>
  <si>
    <t>Juan de Lomba</t>
  </si>
  <si>
    <t>31 de marzo de 1807</t>
  </si>
  <si>
    <t>e Domingo, difunto, y de Benita Marino su muger. Quien supiere su paradero se servirá comunicarlo á D. Juan de Lomba, cura párroco de dicha villa. Se halla vacante la plaza de médico de la villa'de Mascaraque, provincia de Toledo: su dotación es de 600 ducados anuales, cobrados por la justicia:</t>
  </si>
  <si>
    <t>de los Cobos, Francisco</t>
  </si>
  <si>
    <t>Francisco de los Cobos</t>
  </si>
  <si>
    <t>patio principal de los reales hospitales la mañana del 31, cupo la suerte á I). Francisco dé los Cobos, vecino de Madrid, calle de la Montera, número 28, quarto principal: lo que se avisa al público para su inteligencia, y en la de que el. dia 21 deL corriente'se cerrará indefectiblemente</t>
  </si>
  <si>
    <t>de los Dolores Rico, María</t>
  </si>
  <si>
    <t>María de los Dolores Rico</t>
  </si>
  <si>
    <t>enga otros agregados que le hagan recomendable. Se.desea saber si vive, y en donde está establecida Doña María de los Dolores Rico, que se hallaba en Cádiz desde los años de 81 hasta 86 : á ota señora ó á sus parientes interesan mucho algunas noticias, que les podrá franquear el P. Don Felipe, mayordomo del h</t>
  </si>
  <si>
    <t>de los Ríos, Miguel</t>
  </si>
  <si>
    <t>Miguel de los Ríos</t>
  </si>
  <si>
    <t>o de infantería de la Reyna la tenencia coronela al comandante del tercer batallón del mismo cuerpo D. Miguel de los Ríos ; y en los de León y Princesa subtenencias de ban* deraá los cadetes D. Rosendo Salgado y Cárdenas y D. Josef Bailes de la Torre: asimismo ha conferido en el de Ñapóles compañía a</t>
  </si>
  <si>
    <t>de los Rros, Manuel</t>
  </si>
  <si>
    <t>Manuel de los Rros</t>
  </si>
  <si>
    <t>os Tenientes D. Pedro de Errós y D. Joaquín de Ureta j á Tenientes á los Subtenientes de granaderos D. Manuel de los Rros y D. Pedro de la Sota, y á los de fusileros D. Josef Blanco , D. Josef Vargas y D. Antonio Adorno; á Subtenientes de granaderos á tos de fusileros D. Josef Martínez y D. Juan Cetina;</t>
  </si>
  <si>
    <t>de los Santos Ballesteros Fermosell, Miguel</t>
  </si>
  <si>
    <t>Miguel de los Santos Ballesteros Fermosell</t>
  </si>
  <si>
    <t>a de Astorga: para otra de la catedral de Jaén, vacante por moerte de D. Sebastian Perez Piñuela, á D. Miguel de los Santos Ballesteros Fermosell *• para una ración de la catedral de Osma, vacante por fallecimiento de D. Pedro Nevado, á D. Fernando Caya; y para el préstamo beneficio simple de la parroquia de la villa de Tor</t>
  </si>
  <si>
    <t>de Lucuze, Pedro</t>
  </si>
  <si>
    <t>Pedro de Lucuze</t>
  </si>
  <si>
    <t>de las Carretas. Nociones militares, ó suplemento á los principios de fortificación del Excmo. Sr. D. Pedro de Lucuze: escrito para la instrucción de los caballeros cadetes del regimiento de dragones de Saguntó por D. Josef Ignacio de March, capitán del mismo regimiento. Se vende en la librería d</t>
  </si>
  <si>
    <t>de Luna, Juan</t>
  </si>
  <si>
    <t>Juan de Luna</t>
  </si>
  <si>
    <t>68,566 rs.' Quien quisiere hacer postura, acuda por la escribanía'de la. stibdelegacion, que cxerce D. Juan de Luna ,v éá la ¡ villa dé Ubrique. Por la comisión real de las diócesis de Tuy y Orense, y en virtud de auto de D. Juan González Puga, subdelegado; para la enagenácion de bienes eclesiá</t>
  </si>
  <si>
    <t>de LUnos, Gregorio Tadeo</t>
  </si>
  <si>
    <t>Gregorio Tadeo de LUnos</t>
  </si>
  <si>
    <t>ngía de la catedral de Córdoba del Tucuman, vacante por fallecimiento de D. Luis Santos del Pino, á D. Gregorio Tadeo de LUnos, teniente de cura de la parroquia de S- Nicolás de la ciudad de Buenos-Ayres: para otra de la de Quito, vacante por muerte de D. Lázaro Sevillano, á D. Juan Estanislao de Guzman:</t>
  </si>
  <si>
    <t>de Luque y Lozano, Martín</t>
  </si>
  <si>
    <t>Martín de Luque y Lozano</t>
  </si>
  <si>
    <t>cesi de Mondoñedo: para la canongía-de la ¿colegiata de Sta. Fe de Granada, vacante por renuncia de D. Martín de Luque y Lozano, á quien tuvo á bien S. M. nombrar para ella á consulta de la cámara de 8 de noviembre del año pasado, á D. Pedro Diaz de la Guardia, cura de Nixar en la diócesi de Almería: para</t>
  </si>
  <si>
    <t>de Magany, Juan</t>
  </si>
  <si>
    <t>Juan de Magany</t>
  </si>
  <si>
    <t>rps ha concedido :S. M. graduación de alférez de. ella, con antigüedad, sueldo y mando, al ayudante D. Juan de Magany confiriendo el empleo de alférez en propiedad ¿l exento Di Pablo Mesina ; y ha promovido á exento de número al supernumerario D. Luis Marquesi; á supernumerario al brigadier D. Fr</t>
  </si>
  <si>
    <t>de Manuel y Rodríguez, Miguel</t>
  </si>
  <si>
    <t>Miguel de Manuel y Rodríguez</t>
  </si>
  <si>
    <t>á la fuente de la Puerta del Sol. Memorias para la vida del santo Rey D. Fernando, dadas á luz por D. Miguel de Manuel y Rodríguez, bibliotecario primero de los reales estudios de esta corte, dedicadas á la Reyna nuestra señora (que Dios guarde). El nombre del P. Marcos Burriel, autor de estas memorias, y las</t>
  </si>
  <si>
    <t>de Martino, Juan Pedro</t>
  </si>
  <si>
    <t>Juan Pedro de Martino</t>
  </si>
  <si>
    <t>por la escribanía de la comisión, que está á cargo de D. Jd* sef López Martínez. Por providencia de D. Juan Pedro de Martino, juez comisionado regio para la venta de bienes eclesiásticos en la diócesi de Tortosa, se ha señalado el dia 2 2 ot! corriente para el remate de la finca siguiente: una casa sita</t>
  </si>
  <si>
    <t>villa; advirtiéndose está señalado el martes 9 de Junio próximo para su remate. Por providencia de D. Juan Pedro de Martino, comisionado regio para la venta de bienes eclesiásticos de la diócesi doTortosa, se han señalado Los dias 19 y 20 de Junio próximo para el remate de las fincas siguientes: una ca</t>
  </si>
  <si>
    <t>de Marza, Juan</t>
  </si>
  <si>
    <t>Juan de Marza</t>
  </si>
  <si>
    <t>escribanía de número de D. Claudio Sanz. avisos. D. Juan Martínez, vecino de esta corte, remitió á D. Juan de Marza, residente en Avila de los Caballeros, dos vales reales de 300 pesos, de la creación de i.° de enero, núms. 91714 y 117154, endosados por D. Josef Delgado; y habiéndo* se extravia</t>
  </si>
  <si>
    <t>de Mas y Enrich, Esteban</t>
  </si>
  <si>
    <t>Esteban de Mas y Enrich</t>
  </si>
  <si>
    <t>e hacer postura á qualquiera de ellas lo executará j&gt;or la escribanía de la comjsion, que desempeña D. Esteban de Mas y Enrich. Por providencia de D. Tomas Perez de Junguitu, comisionado regio en Ja diócesi de Sevilla, se ha señalado el dia 3 de julio para el remate de un donadío de tierra al sitio del Dr</t>
  </si>
  <si>
    <t>de Mata Marina Arnaiz y León, Juan</t>
  </si>
  <si>
    <t>Juan de Mata Marina Arnaiz y León</t>
  </si>
  <si>
    <t>o y Lo} zaga, D. Francisco Betbecé Llano y Marroco , D. Santiago Piñeyro de las Cafas y Malignado», D. Juan de Mata Marina Arnaiz y León, D. Víctor Duro.Saenz y Solano, D. Fernando Ruiz Lorenzo y^Ruiz, D. Francisco Brias Aguilera y Ulloa, D. Josef Betbecé Llano y Marroco, D. Fulgencio de Toro Suarez y Figueroa, D.</t>
  </si>
  <si>
    <t>de Mata Sánchez, Juan</t>
  </si>
  <si>
    <t>Juan de Mata Sánchez</t>
  </si>
  <si>
    <t>ayudante, graduado de capitán, D. Josef María Bouille: en el de Guadalaxara tenencia al subteriente D. Juan de Mata Sánchez, y subtenencia de bandera al cadete D. Rafael Apeilanis; y en el de voluntarios de la Corona subtenencia de bandera al sargento primero de granaderos D. Demetrio Constante.</t>
  </si>
  <si>
    <t>de Mata y Araujo, Luis</t>
  </si>
  <si>
    <t>Luis de Mata y Araujo</t>
  </si>
  <si>
    <t>ana y latina, buena versión ó latinidad, y de les elementos de retórica y poética los discípulos de D. Luis de Mata y Araujo, en su casa calle de los Jardines, núm. 52. Presidió estos exercicios el Sr. D. Diego Gil Fernandez, del consejo de S. M., alcalde de su real casa y corte..1 Hizo la apertura ¿1 d</t>
  </si>
  <si>
    <t>de Matos, Ramón</t>
  </si>
  <si>
    <t>Ramón de Matos</t>
  </si>
  <si>
    <t>Alonso Dávila, alférez de carabineros del mismo cuerpo; y para sus resultas á Don Atanasi© Quadra y D. Ramón de Matos, alférez y cadete del propio regimiento. Atendiendo el Sermo. Sr. Príncipe Generalísimo Almirante á las repetidas súplicas de los sugetos que desean instruirse en el nuevp método</t>
  </si>
  <si>
    <t>de Mazarredo, Juan</t>
  </si>
  <si>
    <t>Juan de Mazarredo</t>
  </si>
  <si>
    <t>en, y los caballeros seminaristas D. Luis Berganzá, D. Bonifacio Olivencia, D. Bernabé de Otalora , D. Juan de Mazarredo, D. Juaa Ortiz de Zarate, D. Juan de Abrana, D. Pedro Cendeja, D. Pablo Unda, el cadete de reales guardias Walonas D. Félix Gilman, D. Pablo Ferrando, cadete del regimiento de inf</t>
  </si>
  <si>
    <t>seminaristas D. Pedro Sánchez Pavón, D. Pablo Unda, D. Bonifacio Olivencia, D. Bernabé de Otalora, D. Juan de Mazarredo, D. Juan de Arana", D. Pablo Ferrando, cadete del regimiento de infantería de Soria, D. Eugenio de Zuloaga, Don Josef María Jusscé y D. Josef Baqúedano. Ganaron el premio extraord</t>
  </si>
  <si>
    <t>de Mena, Diego Ventura</t>
  </si>
  <si>
    <t>Diego Ventura de Mena</t>
  </si>
  <si>
    <t>gnado, á consulta de la cámara, extinguir el título de marques de Monteverde, concediéndolo ahora á D. Diego Ventura de Mena , maestrante de la real dg Ronda, y vecino de la villa de Belmonte en la provincia de la Mancha, en atención á asistirle las calidades y circunstancias qué requiere esta dignidad,</t>
  </si>
  <si>
    <t>de Menche, Carlos</t>
  </si>
  <si>
    <t>Carlos de Menche</t>
  </si>
  <si>
    <t>es. En el regimiento de reales guardias Valonas se ha servido el Rey promover á capitán al teniente D. Carlos de Menche. S. M. se ha servido conferir en el regimiento de infantería de la Princesa compañía al ayudante, graduado de capitán, D. Ensebio de Villa: ayudantía al teniente de granaderos &gt; g</t>
  </si>
  <si>
    <t>de Menche, Luis</t>
  </si>
  <si>
    <t>Luis de Menche</t>
  </si>
  <si>
    <t>imiento de Reales Guardias Walonas se ha servido el Ret promover á Capitán al primer Ayudante mayor D. Luis de Menche. En el regimiento de infantería del Príncipe se ha servido S. M. promover á Tenientes á los Subtenientes D. Luis Viniegra y D. Higinio García de Borunda: en el de Cantabria Tenenc</t>
  </si>
  <si>
    <t>de Mendioueta, Miguel</t>
  </si>
  <si>
    <t>Miguel de Mendioueta</t>
  </si>
  <si>
    <t>ediendo para ello las diligencias prevenidas en las órdenes circulares y la aprobación de los Sres. D. Miguel de Mendioueta y D. Adrián Marcos Martínez , ministros del</t>
  </si>
  <si>
    <t>de Mendoza, Luis Ignacio</t>
  </si>
  <si>
    <t>Luis Ignacio de Mendoza</t>
  </si>
  <si>
    <t>ía doctora! de la catedral de Maracaybo, vacante por fallecimiento de D. Hipólito Elias González, á D. Luis Ignacio de Mendoza: para otra de merced de la de Valladolid de Mechoacan, vacante por muerte de D. Manuel Nicolás de Lezo, á D. Agustín Matías de Ledos: para la Ración que este dexa á D. Miguel Jose</t>
  </si>
  <si>
    <t>de Mesa y Tapia, Juan</t>
  </si>
  <si>
    <t>Juan de Mesa y Tapia</t>
  </si>
  <si>
    <t>nte por promoción de D. Pedro Muñoz y Arroyo á la canongía magistral de la colegial de Antequera, á D. Juan de Mesa y Tapia; y para el beneficio servidero de la parroquial de Sta. María de la ciudad de Cuenca, vacante por fallecimiento de D. Patricio Sánchez Hidalgo, á Don Juan Bautista Alonso, benefic</t>
  </si>
  <si>
    <t>de Mi, Ramón</t>
  </si>
  <si>
    <t>Ramón de Mi</t>
  </si>
  <si>
    <t>ate. Por providencia del Sr. D. León de Sagasta, teniente corregidor de esta villa, y escribanía de D. Ramón de Mi.la Cuellar, se ha mandado sacar á pública subasta, para pago de acre d res, y por término de gó días contados desde el 21 de marzo próximo pasado, una casa sita en esta corte, cal</t>
  </si>
  <si>
    <t>de Miiller, Juan</t>
  </si>
  <si>
    <t>Juan de Miiller</t>
  </si>
  <si>
    <t>istros y Gefes Franceses han tratado con la mayor distinción al famoso literato Juan de Miiller, natural de Schaffusaen Suiza, quien después de haber sido Bibliotecario del Fiector de Maguncia, y luego Consejero áulico del Emperador de Austria, y empleado en la biblioteca imperial de</t>
  </si>
  <si>
    <t>de Milá de la Roca y de Astigarraga, Joaquín</t>
  </si>
  <si>
    <t>Joaquín de Milá de la Roca y de Astigarraga</t>
  </si>
  <si>
    <t>servicios personales contraídos en beneficio público y del estado por D. Josef Joaquín de Milá de la Roca y de Astigarraga, natural de la ciudad de S. Sebastian, en la proviiicia de Guipúzcoa, vecino y del comercio de la ciudad de Barcelona, á Ja antigüedad de su casa solar, y al esclarecido origen de su famil</t>
  </si>
  <si>
    <t>de Milla Cueilar, Ramón</t>
  </si>
  <si>
    <t>Ramón de Milla Cueilar</t>
  </si>
  <si>
    <t>nte. Por providencia del Sr. D. León de Sagasta, teniente corregidor de esta villa, y escribanía de D. Ramón de Milla Cueilar, se ha mandado publicar nuevamente por otros 15 días mas una casa sita en la villa de Hortaleza, en la plazuela llamada de Sta. Cruz, tasada en 2 2,500 rs.;y se ha señalado para s</t>
  </si>
  <si>
    <t>de Milla Cuellar, Ramón</t>
  </si>
  <si>
    <t>Ramón de Milla Cuellar</t>
  </si>
  <si>
    <t>illa, juez de la quiebra hecha por D. Bernardo Solary y compañía, de este ccmc'cio, y escribanía de D. Ramón de Milla Cuellar, se ha mandado sacar á subasta pública, por término de 30 dias contados desde 14 del presente, una casa sita en la villa de Hortaleza, en la plaza llamada de Sta. Cruz, tasada en</t>
  </si>
  <si>
    <t>a audiencia del Sr. D. Torquato Antonio Collado, teniente corregidor de esta villa, y escribanía de D. Ramón de Milla Cuellar. Quien quisiere comprar una casa sita en esta corte, calle del Rosario , barrios de S. Francisco , manz. lio , entre los nums. 19 y 20 , tasada en 61,364 rs , acuda ente el Sr. D.</t>
  </si>
  <si>
    <t>corregidor de esta villa, confirmadas por executoria del supremo consejo y escribanía numerarla de D. Ramón de Milla Cuellar, se ha mandado sacar nuevamente á pública subasta, por término de 30 dias contados desde el 13 del presente, para pago de acreedores, una casa siia en esta corte, calle ancha de l</t>
  </si>
  <si>
    <t>rovidencia del Sr. D. León de Sagasta, teniente corregidor de esta villa, y escribanía numeraria de D. Ramón de Milla Cuellar, se ha mandado publicar nuevamente una casa sita en esta corte, calle del Lobo, núm. 9, manz. 224, tasada en 598,404 rs.; y se ha señalado para su remate el 22 del corriente. Quie</t>
  </si>
  <si>
    <t>de Miranda, Domingo Antonio</t>
  </si>
  <si>
    <t>Domingo Antonio de Miranda</t>
  </si>
  <si>
    <t>, y concluyó en 17 de este mismo mes, en la sala de ayuntamiento dé esta viila, á presencia del Sr. D. Domingo Antonio de Miranda, caballero de la tarden de Santiago , del consejo de S. M. en el de O-denes, y juez comisionado de dicha rifa., de D. Agustín Roel, contador del mismo real monte , como encargado</t>
  </si>
  <si>
    <t>ecial y exclusivo» A pesar de las activas diligencias y deseos del señor juez comisionado por S. M. D. Domingo Antonio de Miranda, ministro del real consejo de</t>
  </si>
  <si>
    <t>de Mollinedo y Villavicencio, Tomás</t>
  </si>
  <si>
    <t>Tomás de Mollinedo y Villavicencio</t>
  </si>
  <si>
    <t>o militar y político, é intendencia de la provincia de Chiapa al intendente honorario de provincia, D. Tomas de Mollinedo y Villavicencio. Para que á las 8 de la mañana del lúnés 15 del próximo mes de junio se pueda proceder en el primer patio del real hospital general de esta corte al sorteo de la parte de vaxilla</t>
  </si>
  <si>
    <t>de Mora y Lomas, Pedro</t>
  </si>
  <si>
    <t>Pedro de Mora y Lomas</t>
  </si>
  <si>
    <t>1 , tasada en 222,755 rs* Quien quisiere comprarla acuda Rnte el señor intendente de esta provincia D. Pedro de Mora y Lomas, por la es</t>
  </si>
  <si>
    <t>ámara. . , También se ha servido S. M. nombrar para el corregimiento de esta villa de Madrid al Sr. D. Pedro de Mora y Lomas, con reteucion de la intendencia de la misma provincia que obtiene, por sn persona. Asimismo se día servido S. M. expedir al consejo y á la cámara, con fecha de 13 de este mes, el</t>
  </si>
  <si>
    <t>de Mora y Xaraba, Domingo</t>
  </si>
  <si>
    <t>Domingo de Mora y Xaraba</t>
  </si>
  <si>
    <t>7°4 Por providencia de D. Domingo de Mora y Xaraba, comisionado real en la diócesi de Ciudad-Rodrigo, se ha mandado sacar á pública subasta, por 2.°término de 30 dias, que cumple en el 18 del presente, una parte de nueve en la deh</t>
  </si>
  <si>
    <t>de Mora, Ignacio</t>
  </si>
  <si>
    <t>Ignacio de Mora</t>
  </si>
  <si>
    <t>xico se ha servido S. M. promover á Capitaneé de granaderos á los de fusileros D. Pedro de lafora y D. Ignacio de Mora; á Capitanes á les Tenientes de granaderos D. Tomas Carrillo y D. Pablo de Tuero; á Tenientes de granaderos á ios de fusileros D. Manuel Gcmez y D. Juan Serrano; á Tenientes á los</t>
  </si>
  <si>
    <t>ayor, graduado de ten lente coronel, D. Antonio Villamil; á sargento mayor al capitán de granaderos D. Ignacio de Mora; á teniente ¿1 subteniente de granaderos D. Josef Barreyro; á subteniente de granaderos al de fusileros D. Marcos Quíntela, y á subteniente de bandera al cadete D. Juan de'Acósta.</t>
  </si>
  <si>
    <t>de Mora, Ventura</t>
  </si>
  <si>
    <t>Ventura de Mora</t>
  </si>
  <si>
    <t>ento de infantería de México s** ha servido el Rey promover á capitán de granaderos al de fu-ileros D. Ventura de Mora; á capitán al ayudante D. Santiago Mora; á ayudante al teniente de granaderos Don Manuel Gómez; á teniente de granaderos al de fusileros D. Francisco del Castillo; á tenientes á l</t>
  </si>
  <si>
    <t>de Morales, Juan</t>
  </si>
  <si>
    <t>Juan de Morales</t>
  </si>
  <si>
    <t>de tal oidor de dicha audiencia. CEMENTERIOS. En virtud de las eficaces providencias del limo. Sr. D. Juan de Morales, del consejo de S. M. en el supremo de Castilla, y del zelo y esmero en la execucion de las reales órdenes del corregidor de la villa de Cervera del RioAlama^en el obispado de Cal</t>
  </si>
  <si>
    <t>de Murillo, Juan Manuel</t>
  </si>
  <si>
    <t>Juan Manuel de Murillo</t>
  </si>
  <si>
    <t>a, vacante por promoción de D. Antonio Araoz y Arredondo á una Canongia de la catedral de Guadix, á D. Juan Manuel de Murillo, Cura Párroco de Sta. Cruz de Zamarramala en el obispado de Segovia : para el Beneficio sacristía de la villa de Lumbrales, en la diócesis de Ciudad-Rodrigo, vacante por fallecimi</t>
  </si>
  <si>
    <t>de Navas, Manuel</t>
  </si>
  <si>
    <t>Manuel de Navas</t>
  </si>
  <si>
    <t>per numerario D. Manuel de Navas, y á supernumerarios á les guardias Don An tonio Uilauíi y D. Juan Vaígornera. Ei rey ss ha servido conferir en el regimiento de infantería de laR«eyna la comandancia del tercer b</t>
  </si>
  <si>
    <t>de Nebra, Manuel</t>
  </si>
  <si>
    <t>Manuel de Nebra</t>
  </si>
  <si>
    <t>4lo Habiendo fallecido intestado D. Manuel de Nebra, sargento mayor de inválidos de la dotación de esta plaza de Madrid, se hace saber á los parientes ó personas que puedan tener derecho á sus bienes, acudan al tribunal de la audit</t>
  </si>
  <si>
    <t>de Negrete, Francisco Xavier</t>
  </si>
  <si>
    <t>Francisco Xavier de Negrete</t>
  </si>
  <si>
    <t>, inspector general de la caballería: la capitanía general de Castil.a Ja nueva al teniente general D, Francisco Xavier de Negrete, inspector general de infantería: la comandancia general de Guipúzcoa al mariscal de campo D. Carlos de Wite; y el gobierno militar y político de la plaza de Badajoz al mariscal d</t>
  </si>
  <si>
    <t>de NenclaresPalacios, Tomás</t>
  </si>
  <si>
    <t>Tomás de NenclaresPalacios</t>
  </si>
  <si>
    <t>o D. Diego Carta: D. Lucas María Romero, maestro de primeras letras del real sitio de S. Ildefonso: D. Tomas de NenclaresPalacios, oficial de la dirección general de reales provisiones: D. Félix Tornero del Aguila , maestro de primeras letras de Cartagena: D. Jesualdo Manuel Diaz, maestro de primeras letras</t>
  </si>
  <si>
    <t>de Neufchátel, Príncipe</t>
  </si>
  <si>
    <t>Príncipe de Neufchátel</t>
  </si>
  <si>
    <t>nciller del Imperio, de parte de S. M. la Emperatriz, la copia de una carta del Príncipe de Neufchátel, Ministro de la Guerra, con fecha de 26 de Diciembre, y tanw bien otras.cartas escritas al día siguiente en Varsovia. En todos estos pliegos se dice que el Emperador goza de perfecta salud:</t>
  </si>
  <si>
    <t>de Neufchatel, Príncipe</t>
  </si>
  <si>
    <t>Príncipe de Neufchatel</t>
  </si>
  <si>
    <t>ste mes S. M. ha elevado á la dignidad de Vicecondestable al mariscal Berthier, Príncipe de Neufchatel, ministro de la Guerra; y ha conferido este ministerio á Mr. el general de división Clarke» consejero de Estado. EL mismo dia á las 9 de la noche prestaron el juramento acostumbrado en mano</t>
  </si>
  <si>
    <t>de Oáa San Juan y Dolz de Espejo, Manuel</t>
  </si>
  <si>
    <t>Manuel de Oáa San Juan y Dolz de Espejo</t>
  </si>
  <si>
    <t>n se ha servido S. M., por decreto de 5 de octubre de 1802, conceder merced de título de Castilla á D. Manuel de Oáa San Juan y Dolz de Espejo para sí, sus hijos y sucesores legítimos, de que se le^ha expedido el diploma correspondiente; con la denominación de .marques de Montemuzo. En .América. En -el regimiento provinc</t>
  </si>
  <si>
    <t>de Olabarria, Manuel</t>
  </si>
  <si>
    <t>Manuel de Olabarria</t>
  </si>
  <si>
    <t>n proporciona otras muchas ventajas. El pretendiente que quiera oponerse, dirigirá sus memoriales á D. Manuel de Olabarria, regidor decano en dicha villa. En la villa de Oencia, jurisdicción de Aguiar de la Lastra, xeyno de León, s« halla vacante el magisterio de escuela de primeras letras, dotada con</t>
  </si>
  <si>
    <t>de Ortega, ManueL</t>
  </si>
  <si>
    <t>ManueL de Ortega</t>
  </si>
  <si>
    <t>, Doña Rosa de Udías y del Castro, D. Juan María Noriega, Doña María Catania Vallarina de Arenzano, D. ManueL de Ortega, D. Agustín Ximenez y D. Antonio Ccvallcs; y mediante á que sin embargo de las muchas diligencias practicadas y edictos fixados para que comparezcan á abrir y recoger dichas carta</t>
  </si>
  <si>
    <t>de Osuna, Diego</t>
  </si>
  <si>
    <t>Diego de Osuna</t>
  </si>
  <si>
    <t>francés hasta nueva orden. ESPAÑA. Madrid 2 y de octubre. En atención á los méritos y servicios de D. Diego de Osuna, capellán del regimiento de infantería dé Málaga, y conforme al reglamento de 30 de enero de 1804, se ha servido $. M. nombrarle para la ración que en la catedral de Segovia se ha</t>
  </si>
  <si>
    <t>de Otero, Tomás Domingo</t>
  </si>
  <si>
    <t>Tomás Domingo de Otero</t>
  </si>
  <si>
    <t>s al establecimiento del método de educación inventado por Enrique Peítalozzi. Siguió el secretario D. Tomas Domingo de Otero leyendo el compendio de las actas de la sociedad desde el dia 9 de diciembre del año anterior, en que se celebró la última junta pública, hasta el dia 3 de este mes. El vice-direc</t>
  </si>
  <si>
    <t>de Oviedo, Antonio</t>
  </si>
  <si>
    <t>Antonio de Oviedo</t>
  </si>
  <si>
    <t>de discípulos observadores del real instituto militar Pestalozziano á D. Antonio Blanco Valdes y á D. Antonio de Oviedo y..Portal, comisionados por el zelo y</t>
  </si>
  <si>
    <t>de Palacio, Ramón</t>
  </si>
  <si>
    <t>Ramón de Palacio</t>
  </si>
  <si>
    <t>io Salgado. S. M. ha tenido á bien promover á teniente al subteniente del real cuerpo de artillería D. Ramón de Palacio. En América. El Rey se ha servido nombrar para una ración de la catedral de Valiadolid de Mechoacan, vacante por haberla renunciado D. Josef Jacinto de Llanos, al medio racionero</t>
  </si>
  <si>
    <t>de Parada, Miguel Maria</t>
  </si>
  <si>
    <t>Miguel Maria de Parada</t>
  </si>
  <si>
    <t>deVargas y Doña Leonor Perez de Arraciel, á quienes les está comunicado traslado de lo alegado por D Miguel Maria de Parada, testamentario y heredero de la marquesa de Virto, con fecha de 2 2 de mayo del año pasado de 180 1, que á instancia de este se mandó en 9 de setiembre de 1805 hacerles saber por</t>
  </si>
  <si>
    <t>de Párraga, Martín</t>
  </si>
  <si>
    <t>Martín de Párraga</t>
  </si>
  <si>
    <t>para que en cada un año pueda celebrar una feria desde el dia 22 ai 26 inclusive del mes de agosto. Don Martin de Párraga, profesor en el real estudio de mineralogía de esta corte , calle del Turco, dará principio á sus lecciones de Orictegnosia el dia 19 del corriente á las n de la mañana, y las con</t>
  </si>
  <si>
    <t>de Paula Colom y Osorio, Francisco</t>
  </si>
  <si>
    <t>Francisco de Paula Colom y Osorio</t>
  </si>
  <si>
    <t>aestro de geometría D. Juan Serafín Manzano, manifestando los progresos prácticos de sus discípulos D. Francisco de Paula Colom y Osorio, D. Juan de la Piedra, D. Vicente Fernandez de la Pradilla ,D. Juan Josef Menendez y D. Alexo Rubalcava en un plano del arrecife, que desde esta ciudad parte á la de Xerez, levant</t>
  </si>
  <si>
    <t>de Paula Espinosa, Francisco</t>
  </si>
  <si>
    <t>Francisco de Paula Espinosa</t>
  </si>
  <si>
    <t>media-ración de la metropolitana de Sevilla, vacante por fallecimiento de D. Josef Aniceto Tello, á D. Francisco de Paula Espinosa: para la capellanía de Reyes Nuevos de la catedral de Toledo, vacante por muerte de D. Joaquín Morago, á D. Pedro Ruiz, cura párroco de la villa de Bustarviejo en el mismo arzobis</t>
  </si>
  <si>
    <t>de Paula Gniz, Francisco</t>
  </si>
  <si>
    <t>Francisco de Paula Gniz</t>
  </si>
  <si>
    <t>onel D. Francisco Mariano, teniente coronel del de la Reyna; y en el de Montesa tenencia al alférez D. Francisco de Paula Gniz. S. M. se ha servido conferir compañía en el regimiento de dragones de Almansa á D. Josef Burone, cadete de la compañía Italiana de reales guardias de Corps. En atención á la avan</t>
  </si>
  <si>
    <t>de Paula Marañon, Francisco</t>
  </si>
  <si>
    <t>Francisco de Paula Marañon</t>
  </si>
  <si>
    <t>. Juan Manuel de Reboles, á exponer lo que les convenga en los autos que se hallan pendientes entre D. Francisco de Paula Marañon, vecino de la villa de Alcázar de S. Juan, como marido de Doña Catalina Saavedra, y D. Josef Calderón y Jaén, que lo es de la de Dos-barrios, sobre la nulidad ó validación del pap</t>
  </si>
  <si>
    <t>de Paula Pérez, Francisco</t>
  </si>
  <si>
    <t>Francisco de Paula Pérez</t>
  </si>
  <si>
    <t>atedral de Málaga, vacante por promoción de D. Josef María Granados á ración de la misma iglesia, á D. Francisco de Paula Perez , capellán del regimiento de infantería de Málaga ; y para la penitenciaría del real monasterio de la Visitació n de Madrid, vacante por promoción de D. Bernardo Antonio Lucio á c</t>
  </si>
  <si>
    <t>de Paula Seler, Francisco</t>
  </si>
  <si>
    <t>Francisco de Paula Seler</t>
  </si>
  <si>
    <t>la Reyna; á D. Pedro Villar y Vareta, comisionado por el ayuntamiento de la ciudad de la Coruña; á D. Francisco de Paula Seler, regidor de la ciudad de Alicante, comisionado por la misma; á D. Francisco de Borja Sánchez, individuo de la sociedad económica de Murcia, y catedrático ae filosofía; á D. Josef</t>
  </si>
  <si>
    <t>de Paula Zapata, Francisco</t>
  </si>
  <si>
    <t>Francisco de Paula Zapata</t>
  </si>
  <si>
    <t>' S. M. se ha servido nombrar para la canongía de la catedral de Astorga, vacante por premoción de D. Francisco de Paula Zapata á otra de la de Calahorra, y^renuncia de D. Antonio V'idaurreta, canónigo de la de Patencia, á quien tuvo á bien de nombrar para ella por decreto de 31 de mayo último, á D. Juan G</t>
  </si>
  <si>
    <t>de Peralta, Manuel</t>
  </si>
  <si>
    <t>Manuel de Peralta</t>
  </si>
  <si>
    <t>M, se ha servido conceder agregación de capitán en el regimiento de infantería ñxo de Puerto-Rico á D. Manuel de Peralta , alférez del regimiento de reales Guardias Españolas. Asimismo ha nombrado 5. M. para el empleo de teniente letrado asesor ordinario del gobierno é intendencia de Puno, distrito</t>
  </si>
  <si>
    <t>de Perea y Arangoiti, Ignacio</t>
  </si>
  <si>
    <t>Ignacio de Perea y Arangoiti</t>
  </si>
  <si>
    <t>724 .... .......... • ■ ■ , .. .... mingo, y D. Ignacio de Perea y Arangoiti; y otro de la librería, axüarV efectos y muebles de su servicia á dicho D. Manuel Domingo de Perea. Y apeteciéndose $áber quien escribiese esta memoria testamentaria, se han ofrec</t>
  </si>
  <si>
    <t>de Perea y Jo, Francisco</t>
  </si>
  <si>
    <t>Francisco de Perea y Jo</t>
  </si>
  <si>
    <t>ia de Landazuri: otro de 2oí) 4 cada uno de sus quatro sobrinos y sobrinas, hijos de los insinuados D. Francisco de Perea y Doña Jo^fa de Arangoiti: otro de 15© 4 cada uno de sus tres sobrinos, sacerdotes y beneficiados de la iglesia de Lezama, í&gt;. Domingo, D. Manuel Do</t>
  </si>
  <si>
    <t>de Perea, Francisco</t>
  </si>
  <si>
    <t>Francisco de Perea</t>
  </si>
  <si>
    <t>da de Arangoiti y Biguri: otro de 150© á Doña Josefa de Arangoiti y Biguri: otro de 30© á su marido D. Francisco de Perea: otro de 50© a D. Domingo de Barrenengoa: otro de 40© á D. Manuel de Landazuri: otro de 40© por mitad 4 Doña Josefa y Doña Ignacia de Landazuri: otro de 2oí) 4 cada uno de sus qua</t>
  </si>
  <si>
    <t>de Perea, Manuel Domingo</t>
  </si>
  <si>
    <t>Manuel Domingo de Perea</t>
  </si>
  <si>
    <t>gnacio de Perea y Arangoiti; y otro de la librería, axüarV efectos y muebles de su servicia á dicho D. Manuel Domingo de Perea. Y apeteciéndose $áber quien escribiese esta memoria testamentaria, se han ofrecido por los referidos D. Domingo, D. Francisco y D. Santiago de Berganza 6$ rs. en dinero metálico</t>
  </si>
  <si>
    <t>de Piedra, Tadeo</t>
  </si>
  <si>
    <t>Tadeo de Piedra</t>
  </si>
  <si>
    <t>6o6 Chota al teniente de granaderos D. Tadeo dé Piedra; a-ayudante al tenlen-f te D. Josef Arana ; á tenientes á los alféreces D. Pedro-Francisco Álvarez, Lb francisco Costales y D. Francisco Losada; á alféreces á los sargentos primer</t>
  </si>
  <si>
    <t>de Pindemonti, Juan</t>
  </si>
  <si>
    <t>Juan de Pindemonti</t>
  </si>
  <si>
    <t>de Córdoba, se servirá avisar c entregarla á D. Juan Lain y Coca, cura párroco de dicha ciudad, ó á D. Juan de Pindemonti, agente de negocios, que vive calle de los Negros,n. 37, quarto principa!. Se desea saber el paradero de Jayme Martí, artillero retirado con premio : sirvió en el batallón de Scgo</t>
  </si>
  <si>
    <t>de Pisón, Ramón</t>
  </si>
  <si>
    <t>Ramón de Pisón</t>
  </si>
  <si>
    <t>stura, lo executará ante dicho señor, por la escribanía de D. Juan López Fando. avisos. Ante el Sr. D. Ramón de Pisón, del consejo de S. M., alcalde honorario del crimen de la real chañe,illena de Valladolid y auditor del juzgado del Almirantazgo de Madrid, y escribanía única de él, del cargo de</t>
  </si>
  <si>
    <t>acuda aiité dicho señor por la escribanía de D. Gárlos Rodríguez de Moya.. - , AVISOS. Ante el Sr.- D. Ramón de Pisón , del consejo de S. M., alcalde honorario del crimen de la real chancillería de Valladolid, y auditor del juzgado del Almirantazgo de Madrid, y escribanía única de él del cargo de</t>
  </si>
  <si>
    <t>1071 AVISOS* Ante el Sr. D. Ramón de Pisón, del consejo de S.-M., alcalde honorario del crimen de la real chanciliería de Valladoiid, y auditor del juzgado del Almirantazgo de Madrid, y escribanía única de él, del cargo de</t>
  </si>
  <si>
    <t>de Posada y Rubín, Antonio</t>
  </si>
  <si>
    <t>Antonio de Posada y Rubín</t>
  </si>
  <si>
    <t>Sres. Infantes. Otro que en la de 30 de diciembre del mismo pronunció el Dr. D. Antonio dé Posada y Rubín, canónigo de la real iglesia de S. Isidro, — Otro compuesto por el Dr. D. Ignacio María Ruiz de Luzuriaga, y leído en la junta de 30 de Junio de í 80z..—:Arenga que en la junta general de 2</t>
  </si>
  <si>
    <t>de Power, Matias</t>
  </si>
  <si>
    <t>Matias de Power</t>
  </si>
  <si>
    <t>us. En el regimiento de reales guardias Valonas se ha servido el Rey promover á teniente al alférez D. Matias de Power. El Rey se ha servido conceder ¿subtenencias de bandera en el regimiento de infantería de la Reyna al cadete del fixo de Ceuta D. Ramón Pacheco: en el de Córdoba al cadete del mis</t>
  </si>
  <si>
    <t>de Prusia, Henrique (príncipe)</t>
  </si>
  <si>
    <t>Príncipe Henrique de Prusia</t>
  </si>
  <si>
    <t>era■ ^ ; -r * r - í , * ■' ‘ / _ dÓr Napoleón con la Reyna de Prusia, el gran Duque Constantino, el Príncipe Henrique de Prusia, el • ; • *• « ‘ t gran Duque de Berg, y el Príncipe Real de Baviera. EN LA IMPRENTA REAL.</t>
  </si>
  <si>
    <t>en breve á París, y que el Emperador de Rusia hará el mismo viage el invierno próximo. El dia 4 el Príncipe Henrique de Prusia fue presentado por el Rey su hermano á S. M. I. y R. La Rey na de Prusia salió de Tiisit el 7 , tomando el camino de Berlin, de donde muchos infieren que no tardará en seguirla el</t>
  </si>
  <si>
    <t>de Que, Francisco</t>
  </si>
  <si>
    <t>Francisco de Que</t>
  </si>
  <si>
    <t>s gorriones, por el Lie. D. Francisco Martínez, canción excelente , á 3^ rs. : 2.0 quatro cartas de Don Francisco de Que vedo, 4 real: 3.0 Filias á Damon, canción estoyea, 4,2 rs.; y 4.0 tributo obsequioso con que sé pretende instruir una noble juventud, por D. Lorenzo de las Llamosas, á 2§ rs. Obse</t>
  </si>
  <si>
    <t>de Raya, Juan</t>
  </si>
  <si>
    <t>Juan de Raya</t>
  </si>
  <si>
    <t>nía. Por providencia del Sr. D. León de Sagasta, teniente corregidor de esta villa, y escribanía de D. Juan de Raya,se cita,Llama y emplaza á las personas que acrediten tener derecho á los gravámenes que resultan impuestos sobre dos casas, sitas en'esta corte en las calles de la Flor baxa y del</t>
  </si>
  <si>
    <t>de Rcbolleda, Fernando Nicolás</t>
  </si>
  <si>
    <t>Fernando Nicolás de Rcbolleda</t>
  </si>
  <si>
    <t>obra escrita en francés por el limo. Sr. Fenelon, arzobispo de Cambray: traducida al castellano por D. Fernando Nicolás de Rcbolleda. Esta traducción se ha hecho con el mayor esmero, y el público la ha adoptado como una de las mejores que se han dado á luz en castellano. Hay tres ediciones: una en 4 tomos en 8.</t>
  </si>
  <si>
    <t>de Reboles, Juan Manuel</t>
  </si>
  <si>
    <t>Juan Manuel de Reboles</t>
  </si>
  <si>
    <t>uientes a este anuncio comparezcan en el mismo supremo tribunal y escribanía de cámara del cargo de D. Juan Manuel de Reboles, á exponer lo que les convenga en los autos que se hallan pendientes entre D. Francisco de Paula Marañon, vecino de la villa de Alcázar de S. Juan, como marido de Doña Catalina Sa</t>
  </si>
  <si>
    <t>de Recar y Co, Ventura</t>
  </si>
  <si>
    <t>Ventura de Recar y Co</t>
  </si>
  <si>
    <t>ucion las que tratan de la construcción de cementerios de acuerdo y conformidad con el cura párroco D. Ventura de Recar y Co* teño, del hábito de Santiago, como delegado del Rev. rbispo, prior de Santiago de Uclés; y previa la ¿probación del Sr. D. Adrián Marcos Martínez, ministro del consejo real, y en</t>
  </si>
  <si>
    <t>de Redtng, Carlos</t>
  </si>
  <si>
    <t>Carlos de Redtng</t>
  </si>
  <si>
    <t>qué regitnientoi La persona ó personas que tengan noticia de su domicilio se servirán comunicarlo á D. Carlos de Redtng, Coronel del regimiento Suizo de su apellido, número 2.°t que se halla de guarnición en Madrid; y si hubiere muerto, le dirigirán la fe correspondiente que lo acredite, y en caso</t>
  </si>
  <si>
    <t>de Ribas, Joaquín</t>
  </si>
  <si>
    <t>Joaquín de Ribas</t>
  </si>
  <si>
    <t>ciplinadas de Campeche D. Juan Esteban Arfian; á subteniente de granaderos al de fusileros agregado D. Joaquín de Ribas, de fusileros al cadete D. Juan Nepomuceno Ribas, y de bandera á D. Cayetano Cabero y D. Joaquín de Torres, capitán y teniente de urbanos de la misma provincia. Siendo cada vez ma</t>
  </si>
  <si>
    <t>de Ribera, Bartolomé</t>
  </si>
  <si>
    <t>Bartolomé de Ribera</t>
  </si>
  <si>
    <t>iplinadas de Mérida de Yucatán se ha dignado el Rey promoverá capitán de granaderos al de fusileros D. Bartolomé de Ribera; á capitanes de fusileros al teniente agregado D. Ignacio María de Lara,yá los subtenientes D. Juan Nepomuceno Acevedo, de granaderos, y D. Juan Nepomuceno Tenreyro, y ai subtenie</t>
  </si>
  <si>
    <t>de Riega y Solares, Bernardo</t>
  </si>
  <si>
    <t>Bernardo de Riega y Solares</t>
  </si>
  <si>
    <t>no la dirección de cartas para la correspondencia. VENTAS JUDICIALES. En virtud de despacho del Sr. D. Bernardo de Riega y Solares, del consejo de S. M. en el supremo de Castilla, juez comisionado de real orden para entender en la testamentaría del señor conde de Villafucrtes, se han mandado sacar á pública s</t>
  </si>
  <si>
    <t>de Rosetii, Carlos</t>
  </si>
  <si>
    <t>Carlos de Rosetii</t>
  </si>
  <si>
    <t>albaneses, hombre tranquilo, que se lo llevó á fuerza de persuasiones. El cónsul general austríaco D. Cárlos de Rosetii, que iba á embarcarse para el Cairo, y a quien el baxá en sus cartas llama padre, fue detenido per Omar-bei, uno de los principales gefes de los albaneses, el qual pretendia que l</t>
  </si>
  <si>
    <t>de Roxas Clemente, Simón</t>
  </si>
  <si>
    <t>Simón de Roxas Clemente</t>
  </si>
  <si>
    <t>a corre con la de oficio, D. Claudio y D. Esteban Boutelou con la de agricultura y economía rural,y D. Simón de Roxas Clemente con la de subscripciones, Intereses dcc. Investigaciones fisiológicas sóbre la vida , y la muerte , por Francisco Xavier BicHat, traducidas al castellano por IX Tomas García Suelt</t>
  </si>
  <si>
    <t>D. Francisco Pradel; D. Ventura María Sani, conserge del real palacio delrsitio de S. Ildefonso, y D. Simón de Roxas Clemente, bibliotecario del real jardín botánico de Madrid. En cumplimiento de las reales cédulas de 15 de julio y 29 de noviembre de 1797, se recibirán en la tesorería mayor y en las de e</t>
  </si>
  <si>
    <t>or D. Jcsef Demetrio Rodríguez, que recorrió el reyno de Sevilla, y parte de la costa, á tiempo que D. Simón de Roxas Clemente, actual bibliotecario del mismo jardín, recorría el de Granada. Compiten entre sí las colecciones que han traído, tanto de plantas terrestres como de marinas, y y3 llegará el dia</t>
  </si>
  <si>
    <t>de Roxas, Diego</t>
  </si>
  <si>
    <t>Diego de Roxas</t>
  </si>
  <si>
    <t>nuscritos con que «1 santo la enseñaba y dirigia; al momento se imprimió en francés, y el limo. Sr. D. Diego de Roxas, obispo de Calahorra y la Calzada, mandó traducirla en nuestro idioma: va añadido al fin el método de visitar fructuosamente á Jesús sacramentado con motivo del jubileo^ de Quaren</t>
  </si>
  <si>
    <t>de Roxas, Gerónimo</t>
  </si>
  <si>
    <t>Gerónimo de Roxas</t>
  </si>
  <si>
    <t>s de Corps ha promovido el Rey á primer teniente al segundo, marques de Lazan; á segundo al alférez D. Gerónimo de Roxas ; á alférez al exento D. Félix Calvillo; á exénto de número al supernnmeratio D. Josef Lasala; á supernumerario al brigadier D. Vicente Bustamante; á brigadier al subrigadier Don</t>
  </si>
  <si>
    <t>de Roxas, Salvador</t>
  </si>
  <si>
    <t>Salvador de Roxas</t>
  </si>
  <si>
    <t>e, graduado de Capitán, D. Antonio Canani; y en el de Santiago empleo de Alférez al Portaestandarte D. Salvador de Roxas. En América. En el regimiento de infantería de México se ha servido S. M. promover á Capitaneé de granaderos á los de fusileros D. Pedro de lafora y D. Ignacio de Mora; á Capitane</t>
  </si>
  <si>
    <t>de Roxas, Sebastián</t>
  </si>
  <si>
    <t>Sebastián de Roxas</t>
  </si>
  <si>
    <t>es de milicias disciplinadas del valle de Dupar se ha servido el Rey promover á capitán al teniente D. Sebastian de Roxas, á teniente al subteniente Don Josef Francisco Maestre, y á subteniente á D. Josef Manuel Quiros, vecino de la jurisdicción de dicho cuerpo. BANCO NACIONAL DE SAN CARLOS. La junta</t>
  </si>
  <si>
    <t>de Rozas y Negrete, Simón</t>
  </si>
  <si>
    <t>Simón de Rozas y Negrete</t>
  </si>
  <si>
    <t>reales consejos. Por los señores del real y supremo consejo de Hacienda, y escribanía del cargo de D. Simón de Rozas y Negrete, se cita, llama y emplaza á los acreedores de los bienes que quedaron por muerte de D. Salvador Gómez, del comercio que fue de esta corte, para que en el término de 15 días contad</t>
  </si>
  <si>
    <t>de Ruede y León, Matías</t>
  </si>
  <si>
    <t>Matías de Ruede y León</t>
  </si>
  <si>
    <t>en la tienda de Dujardin, plazuela del Angel. Gramática Francesa parauso de la Nación Española, por D. Matías de Ruede y León, Presbítero, autor de la Gramática para uso de los Franceses. La presente Gramática es mucho mas completa que todas quantas se han impreso hasta ahora. Contiene un nuevo plan de g</t>
  </si>
  <si>
    <t>de Sa, Gregorio</t>
  </si>
  <si>
    <t>Gregorio de Sa</t>
  </si>
  <si>
    <t>ía del número de D. Diego Benigno. • AVISOS. I - O . ’ ' ' El 5 de noviembre próximo pasado remitió D. Gregorio de Sa lazar, apoderado de D. Francisco de Valle y Hoyuelo, vecino de Madrid, á D. Manuel de Ánr guio, vecino de Viergol, en el valle de Mena de las Encartaciones de Vizcaya, con último end</t>
  </si>
  <si>
    <t>de Saaredra Faxardo, Diego</t>
  </si>
  <si>
    <t>Diego de Saaredra Faxardo</t>
  </si>
  <si>
    <t>ó alzadamente, acuda en dicho término i la referida secretaría. JLIBROS. Las Empresas políticas de D. Diego de Saaredra Faxardo: 3 tomos en S.° con J02 láminas. Este insigne monumento de nuestra literatura se hace cada dia mas interesante por su dicción noble, concisa y vigorosa, por la grandeza y elevació</t>
  </si>
  <si>
    <t>de Saavedra, Juan</t>
  </si>
  <si>
    <t>Juan de Saavedra</t>
  </si>
  <si>
    <t>del mismo cuerpo ; y en él de Alcántara compañía al ayudante del de Calatrava, graduado de capitán* D. Juan de Saavedra* También se ha servido el Rey conferir el regimiento de dragones del Rey a D. Juan Barrios* teniente coronel del de Villaviciosa; y el de cazadores voluntarios de España al corone</t>
  </si>
  <si>
    <t>de Salas Calderón, Juan</t>
  </si>
  <si>
    <t>Juan de Salas Calderón</t>
  </si>
  <si>
    <t>nta real. Los suscriptores á la obra original intitulada Gabinete de antigüedades, su autor el Lie. D. Juan de Salas Calderón, abogado del ilustre colegio de esta corte, podrán acudir á recoger el 3° y último tomo á las librerías en qué hájan suscrito, en las qué, á los precios que se anunciaron en el pr</t>
  </si>
  <si>
    <t>de Salas, Antonio</t>
  </si>
  <si>
    <t>Antonio de Salas</t>
  </si>
  <si>
    <t>Señor Prínr cipe de la Paz á (a alta dignidad de Generalísimo Almirante de España é Indias, compuso D. Antonio de Salas, y glosó D. Manuel de Copons, Teniente Coronel agregado al Estado mayor de la plaza de Madrid. Se hallará en la librería de Ce»» ro, calle de las Carretas: su precio 2 rs.; puede</t>
  </si>
  <si>
    <t>de Salas, Francisco Gregorio</t>
  </si>
  <si>
    <t>Francisco Gregorio de Salas</t>
  </si>
  <si>
    <t>rítica de la traducción del* robo de Proserpina, con troíos escogidos de ella,. y de las poesías de D. Francisco Gregorio de Salas: en la parte de teatros la crítica de las comedlas representadas en loide esta corte, con Jqs mejores trozos poéticos de ellas, formándose con -esto una colección que comprehende</t>
  </si>
  <si>
    <t>lle de las Carretas, y en la de Barco, carrera de S. Gerónimo. El compendio práctico del pulpito de*D. Francisco Gregorio de Salas, que contiene algunas reglas y tres exemplare* en tres oraciones, formadas sobre los tres estilos sublime, medio y familiar , se hallará en la librería de Orea,frente á S. Luis. M</t>
  </si>
  <si>
    <t>rs. en pasta 7 34 en rústica. Himno en elogio de la paz, dispuesto en versos ^áficos y adórneos por D. Francisco Gregorio de Salas. Van añadidas en esta nueva y quarta edición algunas estrofas alusivas á las circunstancias del dia. Se hallará en la librería de Orea.. Descripción de los harenes ó serrallos de</t>
  </si>
  <si>
    <t>s en 8.° Se hallará en la librería de Cerro, calle Mayor, portal de Manguiteros. &gt; Elogio del poeta D. Francisco Gregorio de Salas, por un amigo suyo. En este escrito se da á conocer el mérito de sus obras, y se manifiesta la amabilidad inal-&gt; terable de su carácter, concluyendo con un epitafio, que expresa i</t>
  </si>
  <si>
    <t>las Carretas, y en la de Campo, calle de Alcalá; y en Valencia en la de Minguet. Retrato del poeta D. Francisco Gregorio de Salas, que falleció en.2 del cor** líente. Se hallará en la librería de Escribano, calle de las Carretas, y de Esparza, puerta del Sol , á 2 ’rs. en negro y 4 iluminado. MUSICA. En la l</t>
  </si>
  <si>
    <t>de Salazar, Francisco Antonio</t>
  </si>
  <si>
    <t>Francisco Antonio de Salazar</t>
  </si>
  <si>
    <t>ciones que se le proporcionen en casas particulares. Quien quisiere hacer pretensión, la dirigirá á D. Francisco Antonio de Salazar, que se halla con todas las facultades necesarias para recibir les informes, y dar orden para que se examine al pretendiente en el mismo pueblo de su residencia, como igualmente p</t>
  </si>
  <si>
    <t>de Salazar, Luis María</t>
  </si>
  <si>
    <t>Luis María de Salazar</t>
  </si>
  <si>
    <t>erales de la real armada D. Ignacio María de Alava, D. Antonio de Escaño, y D. Josef Justo Sateedo; D. Luis María de Salazar, intendente general; D. Juan Peres V¡Hamil , auditor general; el gefe de esquadra D. Josef de Espinosa, secretario; el capitán de navio D. Martín Fernandez Navarrete, contador; y</t>
  </si>
  <si>
    <t>de Salrquet, Manuel</t>
  </si>
  <si>
    <t>Manuel de Salrquet</t>
  </si>
  <si>
    <t>y el empleo de capitán primero en el primer batallón de voluntarios de Barcelona al capitán segundo D. Manuel de Salrquet. S. M. se ha servido nombrar para el corregimiento de la villa de Guadalcanal, de segunda clase, á D. Pedro Pascual Casales; para la vara de alcalde mayor de la villa de la Solana</t>
  </si>
  <si>
    <t>de San Martín y Burgoa, Antonio</t>
  </si>
  <si>
    <t>Antonio de San Martín y Burgoa</t>
  </si>
  <si>
    <t>s ventajas que se podrían lograr en todo el reyno observando las reglas de Ja antigua labranza, por D. Antonio de San Martin y Burgoa: un tomo en 8.° á 12 rs. en pasta—Libro nuevo y curioso en que se daa las reglas fixas que convienen usar en el juego llamado mus, característico de</t>
  </si>
  <si>
    <t>de Sancha y Prado, Tomás</t>
  </si>
  <si>
    <t>Tomás de Sancha y Prado</t>
  </si>
  <si>
    <t>rovidencia del Sr. D. Torquato Antonio Collado, Teniente Corregidor5 de esta villa, y escribanía de D. Tomas de Sancha y Prado, se han mandado sacar á pública subasta dos casas sitas en esta corteé una calle de. la Montera ,- num. 43,manz. 291, tasada en 130,094 rs. , y otra calle de los Jardines , sin nú</t>
  </si>
  <si>
    <t>24 de marzo de 1807</t>
  </si>
  <si>
    <t>, tasada en 283,174 rs. Quien quisiere hacer postura acuda ante el mismo señor juez y escribanía de D. Tomas de Sancha y Prado; y para su ro» mate se halla señalado el 15 de abril próximo en la audiencia de su señoría. AVISO. Se solicita saber el paradero de un niño de 13 años llamado Pedro Rodrigo, que f</t>
  </si>
  <si>
    <t>providencia del Sr. D. Torquato Antonio Collado, teniente corregidor de esta villa, y escribanía de D. Tomas de Sancha y Prado, se ha mandado satar á pública subasta una casa sita en la calle de Jácometrezo, núm. 20, manz. 379, tasada en 18,634 rs. Quien quisiere hacer postura, acuda ante dicho señor y es</t>
  </si>
  <si>
    <t>audiencia del Sr. D. León de Sagasta, teniente corregidor de esta villa» y escribanía de número de D. Tomas de Sancha y Prado, se ha mandado sacar á pública subasta, por término de t 5 dias contados desde 15 del corriente, una casa sita en la calle de la Madera baxa, núm. 8, manz. 461, tasada en ip§,o66</t>
  </si>
  <si>
    <t>Sr. D. Torquato Antonio Collado, teniente corregidor de esta villa, por la escribanía del número de D. Tomas de Sancha y Prado. AVISOS. En la villa de Albacete, reyno de Murcia, se halla vacante Ta cáteira de latinidad y retórica, dótala con 300 ducados anuales, que se pagan de sus propios, y casa de bald</t>
  </si>
  <si>
    <t>D. Torquato Artomo Collado, teniente corregidor de esta villa, y escribanía del número del cargo de D. Tomas de Sancha y Prado, se han mandado sacar á pública subasta, por término de 30 dias contados dcice el ii del corriente, las fincas siguientes: una casa, que sirve de esquileo v lavadero de lanas, con</t>
  </si>
  <si>
    <t>de Sanpelayo, Francisco Félix</t>
  </si>
  <si>
    <t>Francisco Félix de Sanpelayo</t>
  </si>
  <si>
    <t>ara una canongía de la catedral de Patencia, vacante por muerte de D. Francisco Xavier Valcarcel, á D. Francisco Félix de Sanpelayo, cura párroco de la villa de Valdilecha, arzobispado dé Toledo : para la canongía de la colegiata del Salvador de la ciudad de Granada, vacante por promociónde D. Vicente Martínez</t>
  </si>
  <si>
    <t>de Santa Cruz Cárdenas y Montalbo, Francisco Xavier</t>
  </si>
  <si>
    <t>Francisco Xavier de Santa Cruz Cárdenas y Montalbo</t>
  </si>
  <si>
    <t>entronques de su casa, se ha servido el Reí, áconsulta de la cámara,conceder á su hijo primogénito D. Francisco Xavier de Santa Cruz Cárdenas y Montalbo los honores de grande de España para sí, sus hijos y sucesores varones y hembras en la casa de Santa Cruz de Mopox. Asimismo en consideración á la antigua nobleza y lustre de la famil</t>
  </si>
  <si>
    <t>de Santa Cruz y Cárdenas, Joaquín</t>
  </si>
  <si>
    <t>Joaquín de Santa Cruz y Cárdenas</t>
  </si>
  <si>
    <t>leales guardias de Corps. En atención, á ios distinguidos méritos y servicios del mari cal de campo D. Joaquín de Santa Cruz y Cárdenas, conde de Santa Cruz de Mopox</t>
  </si>
  <si>
    <t>de Santa María García y de Manuela Orta, Francisco</t>
  </si>
  <si>
    <t>Francisco de Santa María García y de Manuela Orta</t>
  </si>
  <si>
    <t>eo. Jacinto Santa María Orta, natural de la villa de Sotillo, de edad de 15 años, é hijo natural de D. Francisco de Santa María García y de Doña Manuela Orta, hace Cerca de 3 meses que salió de casa de sus padres sin que sepan estos &lt; su paradero; y i efecto deaveriguarlose noticia al público para que den razón de qualquiejá parte en q</t>
  </si>
  <si>
    <t>de Santa María, Alexo</t>
  </si>
  <si>
    <t>Alexo de Santa María</t>
  </si>
  <si>
    <t>ario D. Luis Marquesi; á supernumerario al brigadier D. Frahcisco Oviedo; á.brigadier al subrUadier D. Alexo de Santa María;, á subrigadier al cadete garzón D. Blas Perezá. cadete^ de número al su</t>
  </si>
  <si>
    <t>de Sanz y Labin, María</t>
  </si>
  <si>
    <t>María de Sanz y Labin</t>
  </si>
  <si>
    <t>73* . Quien supiere el paradero de D. Mariano de Espinosa, natural de Patencia, viudo de Doña María de Sanz y Labin, nombrado heredero de D, Josef Sanz , mercader en Santander, se servirá participarlo á D. Ramón de Baíleme, vecino y del comercio de dicha ciudad, ó á D. Juan Lavadi, en la misma.</t>
  </si>
  <si>
    <t>de Sierra y Pambley, Felipe</t>
  </si>
  <si>
    <t>Felipe de Sierra y Pambley</t>
  </si>
  <si>
    <t>, acuda á la escribanía de la comisión, que está á cargo de?D...Domingo Pacheco. Por providencia de D. Felipe de Sierra y Pambley, juez comisionado para la venta de bienes eclesiásticos dei obispado y provincia deXeoñ,. se está subastando^ un puerto que sirve para pasto de merinas en el verano, intitulado Ri</t>
  </si>
  <si>
    <t>de Sierra, Nicolás</t>
  </si>
  <si>
    <t>Nicolás de Sierra</t>
  </si>
  <si>
    <t>fiscalías que estos dexan á D. Gerónimo Antonio Diez, regente de la cbancillería de Valladolid, y á D. Nicolás de Sierra, fiscal del crimen de la audiencia.de Sevilla; para la regencia de Valladolid, que resulta vacante» á D.Francisco Ignacio Moradíllo , oidor decano de la chancillería de Granada ;</t>
  </si>
  <si>
    <t>de Siles y Fernández, Antonio</t>
  </si>
  <si>
    <t>Antonio de Siles y Fernández</t>
  </si>
  <si>
    <t>did la junta, excuso verbalmente antes de principiarla el objeto de su celebración.___El secretario D. Antonio de Siles y Fernandez leyó la relación de las tareas de dicho cuerpo patriótico en el último año académico, y de sus 3 clases de agricultura, industria y oficios; y la Sra. Doña María del Rosario Ceped</t>
  </si>
  <si>
    <t>de Silva y Pantcja, Gregorio</t>
  </si>
  <si>
    <t>Gregorio de Silva y Pantcja</t>
  </si>
  <si>
    <t>e Almirante de España é Indias, se apresuró gustosa, á propuesta de su zeloso gobernador el coronel D. Gregorio de Silva y Pantcja, á celebrar las benéficas determinaciones de su Monarca en gloria de su país, reservando las disposiciones hechas ai intento para los dias 12 , 13 y 14 del mes de mayo de este año</t>
  </si>
  <si>
    <t>de Silva, Juan</t>
  </si>
  <si>
    <t>Juan de Silva</t>
  </si>
  <si>
    <t>rtilleros de guarnición de Ciudad-Rodrigo, Santander y S. Sebastian á ios conductores ae artillería D. Juan de Silva y D. Josef Sotelo, y al sargento del regimiento provincial de Alcázar de S. Juan D. Juan Sánchez Illescas. S.M. se ha servido nombrar para el empleo de guarda- almacén ordinario de ar</t>
  </si>
  <si>
    <t>de Sojo, Agustín</t>
  </si>
  <si>
    <t>Agustín de Sojo</t>
  </si>
  <si>
    <t>Mariano Ibañez al terceros En la de segundo año de matemáticas, dei cargo, en el presente curso, de D. Agustín de Sojo, á D. Josef Salazar al primero, y áD. Josef Chacón y D. Manuel Blanco al segundo. En la dé física experimental, del cargo del substituto D. Antonio Peña, se juzgó digno del primer</t>
  </si>
  <si>
    <t>de Solis y Becerra, Sebastián</t>
  </si>
  <si>
    <t>Sebastián de Solis y Becerra</t>
  </si>
  <si>
    <t>ha servido conceder plazas de discípulos observadores en el real instituto militar pestalozziano á D. Sebastian de Solis y Becerra, alcalde del crimen de la chancillería de Valladolid; D. Antonio BJazquez,.abanderado de reales Guardias Españolas; D. Francisco Xavier Cabanes?, abanderado de reales Guardias Wai</t>
  </si>
  <si>
    <t>de Soro y Marzana, Francisco</t>
  </si>
  <si>
    <t>Francisco de Soro y Marzana</t>
  </si>
  <si>
    <t>ente corregidor de esta villa, está mandado citar, llamar yemplazar á los parientes mas cercanos de D. Francisco de Soro y Marzana paraque en el término de 15 dias, que por primero , segundo y tercero se concede, comparezcan en su juzgado por la escribanía de D. Ramón García Ximenez á decir y alegar de su der</t>
  </si>
  <si>
    <t>de Sorreguieta, Tomás</t>
  </si>
  <si>
    <t>Tomás de Sorreguieta</t>
  </si>
  <si>
    <t>a religión verdadera en la primitiva edad del mundo, y la de la nación hispano-vascongada: su autor D. Tomas de Sorreguieta. Se hallará en la librería de Montero, y en Cádiz en casa de D. Bartolomé Lopetecli. Compendio de la Historia de España desde los tiempos mas remotos hasta nuestros días, porD. Jo</t>
  </si>
  <si>
    <t>de Soto y Parga, Gaspar</t>
  </si>
  <si>
    <t>Gaspar de Soto y Parga</t>
  </si>
  <si>
    <t>nio Ruftao Blanco, D. Josef Montes , D. Josef Luanco, D. Matías Espantoso» D. Andrés González Diez, D. Gaspar de Soto y Parga, D. Ramón Abad» D. Josef Jenér, D. Angel Selisis Palomo , D. Francisco Xavier Rivadulla y D. Gregorio Calderón y Durango: en geometría elemental D. Josef Ordavidcluz, D. Manuel Ce</t>
  </si>
  <si>
    <t>de Soto, Francisco Pedro</t>
  </si>
  <si>
    <t>Francisco Pedro de Soto</t>
  </si>
  <si>
    <t>ién noticia de los dias en que entran y salen los correos generales de las estafetas de planta: por D. Francisco Pedro de Soto, oficial segundo de la administración principal de Truxillo: un tomo en 4° Se hallará en el despacho de la imprenta real á 34 rs. en pasta y 30 en rústica. Biblioteca espiritual,</t>
  </si>
  <si>
    <t>de Sotomayor y Unda, Joaquín</t>
  </si>
  <si>
    <t>Joaquín de Sotomayor y Unda</t>
  </si>
  <si>
    <t>ombrar para el deanato de la catedral de Quito, vacante por fallecimiento de D. Pedro Josef Mesía»á Don Joaquín de Sotomayor y Unda: para el arcedianato que este dexa al chantre D. Maximiliano Coronel: para la chantría á D. Miguel de Unda y Lema, Maestrescuela: para la maestrescolía al tesoreroD. Calixto Miran</t>
  </si>
  <si>
    <t>de Sousa Viana, Juan</t>
  </si>
  <si>
    <t>Juan de Sousa Viana</t>
  </si>
  <si>
    <t>en, que este dexa , á D. Juan Antonio de la Riva, oidor de la de Guadalaxara; y para esta resulta á D. Juan de Sousa Viana, abogado de la audiencia de Buenos-Ayres. Para oidor decano de la de Goatemala al fiscal de la de Cuba D. Rafael de la Llave; y para oidor supernumerario al asesor de la provincia</t>
  </si>
  <si>
    <t>de Tagle, Gabriel</t>
  </si>
  <si>
    <t>Gabriel de Tagle</t>
  </si>
  <si>
    <t>vido conferir compañía en el regimiento de caballería del Infante al ayudante, graduado de capitán, D. Gabriel de Tagle: en el de Calatrava tenencia al alférez D. Benito Esteve; y esta resulta al portaestandarte D. Pablo Bertendona: en el de Santiago empleo de portaestandarte al sargento primero D.</t>
  </si>
  <si>
    <t>de Taranco, Francisco</t>
  </si>
  <si>
    <t>Francisco de Taranco</t>
  </si>
  <si>
    <t>lio, abrió la sesión con un discurso análogo á las circunstancias, después del qual el Excmo. Sr. D. Francisco de Taranco, capitán general de este reyno , repartió, á nombre del consulado, 10 dotes de á ioo ducados á otras tantas doncellas pobres y honradas, que se presentaron vestidas á expensas del</t>
  </si>
  <si>
    <t>de Tejada, Félix</t>
  </si>
  <si>
    <t>Félix de Tejada</t>
  </si>
  <si>
    <t>salida del sol. Ultimamente puso dicho Sr. limo, á disposición del capitán general del departamento D. Félix de Tejada 70.050 rs. de vn., con arreglo á lo dispuesto por el Serenísimo Señor Príncipe Generalísimo Almiranie, de los quales 20© eran del mismo prelado, 3© de su cabildo, 6© del presbíter</t>
  </si>
  <si>
    <t>de Teran, Francisco</t>
  </si>
  <si>
    <t>Francisco de Teran</t>
  </si>
  <si>
    <t>rdín experimental se hacen otros cien arados; y habiendo dado cuenta de todo el gefe de la comisión D. Francisco de Teran al Serenísimo Señor Príncipe Generalísimo Almirante, ha mandado S. A. que se manifieste á Gordon su aprecio y gratitud, y que se publiquen sus dignas acciones. Otras providencias</t>
  </si>
  <si>
    <t>de Tercilla, Vicente María</t>
  </si>
  <si>
    <t>Vicente María de Tercilla</t>
  </si>
  <si>
    <t>sprudencia, tratado que escribió en italiano Luís Antonio Muratori, y traduxo al castellano el Lie. D. Vicente María de Tercilla: un tomo en 4.0 Se vende á 14 rs. en pasta en la librería de Castillo. Tratado de las enfermedades endémicas, epidémicas y contagiosas de toda especie de ganados, sus causas, sínt</t>
  </si>
  <si>
    <t>de Toda, Félix</t>
  </si>
  <si>
    <t>Félix de Toda</t>
  </si>
  <si>
    <t>... . . pitan prímeré el segundó D. Gaspar de Goycoecheá, y á teniente el subteniente D. Félix de Toda. Eri atención á los buenos •servicios de D. Francisco López de Alcaraz, secretario del rey con ejercicio devdecrétós, y oficial mayor mas antiguo de ía secretaría de estado y del</t>
  </si>
  <si>
    <t>de Toro Suárez y Figueroa, Fulgencio</t>
  </si>
  <si>
    <t>Fulgencio de Toro Suárez y Figueroa</t>
  </si>
  <si>
    <t>ernando Ruiz Lorenzo y^Ruiz, D. Francisco Brias Aguilera y Ulloa, D. Josef Betbecé Llano y Marroco, D. Fulgencio de Toro Suarez y Figueroa, D. Andrés Costa y, Mut, D- Manuel Guillelmi Valeñzuela y Andrada, D. Juan Perez Dávila Cabredo y XiVnenez, D. Antonio Primó dé Ribera Oítiz de Pinedo, D. Agustín Alcalá Galiano A</t>
  </si>
  <si>
    <t>de Torres Villarroel, Diego</t>
  </si>
  <si>
    <t>Diego de Torres Villarroel</t>
  </si>
  <si>
    <t>, á 50 rs. en rustica y 60 en pasta. El Genesio, preleccíones teológicas, 4 tomos en 4.°_La vida de D. Diego de Torres Villarroel, con la aventura del ermitaño, un tomo en 4.0 marqúilla. Se hallarán en la librería de Dávila, y en Salamanca en la de Alegría y compañía. Carta de Armida á Reynaldo , 4.a de la c</t>
  </si>
  <si>
    <t>de Torres y Leis, Juan</t>
  </si>
  <si>
    <t>Juan de Torres y Leis</t>
  </si>
  <si>
    <t>destino á D. Pedro Alcántara Velaz, tesorero electo del exército de Galicia; para esta tesorería á D. Juan de Torres y Leis, tesorero de rentas de la provincia de Segovia, y para esta resulta á D. Jayme Amat. NOTICIAS DE BUENOS-AYRES. En la gazeta ntüm. 72 te insertaron algunos documentos que prueban y</t>
  </si>
  <si>
    <t>de Torres, Diego</t>
  </si>
  <si>
    <t>Diego de Torres</t>
  </si>
  <si>
    <t>ortaguión al sargento primero Don Diego Camacho: en el de Lusitania empleo de alférez al portaguión Don Diego de Torres; y en el de Sagunto empleo de portaguión al cadete Don Rafael Xirnenez. El mercurio de España de junio de 1807 se hallará desde mañana en el despacho de la imprenta real, y en Cád</t>
  </si>
  <si>
    <t>de Torres, Sebastián</t>
  </si>
  <si>
    <t>Sebastián de Torres</t>
  </si>
  <si>
    <t>de gramática casteliana0 dedicado ai Sermo. Sr. Príncipe Generalísimo Almirante: le presidió el Sr. D. Sebastian de Torres, del consejo real, protector de este estudio: D. Guillelmo Xaramillo, que lo dirige , ios censores y otros varios preguntaron á los alumnos sobre todas las partes de la gramática</t>
  </si>
  <si>
    <t>y6 el acto con dos discursos del Sr. D. Sebastian de Torres y D. Cayetano Gironda , análogos á las circunstancias, á la dignación de S. A. S., y al apoyo y proteccipn que dispensa á todo establecimiento en que se interesa la educación pública.</t>
  </si>
  <si>
    <t>r del de Calatrava: tenencias en el citado de la Reyna é Infante á los alféreces D. Josef Saborido, D. Sebastian de Torres y D. Ramón López: en el de Farnesio empleos de alférez á los portaestandartes D. Félix Ramos y D. Juan.Angel Díaz : en el de Algarbe compañía al ayudante, graduado de capitán, D. Andr</t>
  </si>
  <si>
    <t>corte, con 8 piedras por ahora, en la calle del Humilladero , casa núms. i y 2, quarto baxo. El Sr. D. Sebastian de Torres, del consejo Perl, como protector del estudio de gramática castellana, que dirige el catedrático D. Guillermo Xaramiilo, ha señalado el dia 27 del corriente mes de octubre para da</t>
  </si>
  <si>
    <t>de Tu, Manuel</t>
  </si>
  <si>
    <t>Manuel de Tu</t>
  </si>
  <si>
    <t>rtos de legua de la ciudad de Segcvia, y lo mismo del real sitio de S. Ildefonso, acuda en Madrid á D. Manuel de Tu yo y Bey tía, que vive calle delBano, núm. 11, quarto entresuelo; en dicha ciudad á D„ Francisco Duran de la Rocha, y en la de Vaüadolid á D. Josef Joaquín Pantoja , marques del Arc</t>
  </si>
  <si>
    <t>de U'rreta Vizcaya, Juan Miguel</t>
  </si>
  <si>
    <t>Juan Miguel de U'rreta Vizcaya</t>
  </si>
  <si>
    <t>rrilla y Monroy y D. Alonso Villalobos. Hace algunos meses que falta de su casa Juan Miguel de U'rreta Vizcaya, natural y vecino de la villa de Elduain, en la provincia de Guipúzcoa; de edad de 34 años; estatura mediana; manco de la mano izquierda.Quien supiere de su paradero , ó de si ha muerto, s</t>
  </si>
  <si>
    <t>de Udi, Melchor</t>
  </si>
  <si>
    <t>Melchor de Udi</t>
  </si>
  <si>
    <t>* misma chancíllería: para una plaza nacional de ministro del consejo de Navarra, por jubilación de D. Melchor de Udi, á D. Josef María Galdeano, alcalde de la corte mayor de dicho tribunal; y para esta resulta , as i mis</t>
  </si>
  <si>
    <t>de Unda y Lema, Miguel</t>
  </si>
  <si>
    <t>Miguel de Unda y Lema</t>
  </si>
  <si>
    <t>yor y Unda: para el arcedianato que este dexa al chantre D. Maximiliano Coronel: para la chantría á D. Miguel de Unda y Lema, Maestrescuela: para la maestrescolía al tesoreroD. Calixto Mirandat para la tesorería af canónigo D. Tomas de Yepes: para esta canongía al racionero D. Santiago Josef López Ruiz,</t>
  </si>
  <si>
    <t>de Unzaga, Francisco</t>
  </si>
  <si>
    <t>Francisco de Unzaga</t>
  </si>
  <si>
    <t>. Manuel Elzaurdi. En Cuenca......... . Sres. viuda de Escolar y Noriega é hijo. En Granada........ D. Francisco de Unzaga. • En Guadalaxara. D. Isidoro García Plaza. En Jaén............... D. Pedro y D. Juan Esponera. En León................. D. Pedro Gil de Tejada. En Málaga........... D. Juan Xímen</t>
  </si>
  <si>
    <t>de Urbina, Cayetano</t>
  </si>
  <si>
    <t>Cayetano de Urbina</t>
  </si>
  <si>
    <t>r»lente en í-a cafa propia de la misma su junta general, que prendió el señorinten* dame corregidor D. Cayetano de Urbina. Se dio principio dando cuenta de todo lo practicado el año pasado 1806, para la prosperidad y aumento de la asociación y alivio de los pobres presos, siendo de suma complacencia</t>
  </si>
  <si>
    <t>de Tordesillas» también de segunda clase, á D. Vicente Sánchez Muñoz. Ea virtud de la promoción de D. Cayetano de Urbina, intendente del exército de Valencia, á ministro de capa y espada del consejo de Indias, ha venido S M. en mandar que se restituya á servir aquella intendencia D. Francisco Xavier</t>
  </si>
  <si>
    <t>de Uriarte, Joaquín</t>
  </si>
  <si>
    <t>Joaquín de Uriarte</t>
  </si>
  <si>
    <t>los grandes bienes que las ciencias útiles han producido á todas las naciones cultas. El secretario D. Joaquín de Uriarte leyó las actas del año, y manifestó en ellas los progresos de los establecimientos de beneficencia y de instrucción pública ya formados. Siguiéronse los exámenes de las niñas sobr</t>
  </si>
  <si>
    <t>de Urraza, Juan Antonio</t>
  </si>
  <si>
    <t>Juan Antonio de Urraza</t>
  </si>
  <si>
    <t>postura á todas, ó qualquiera de dichas fincas, acuda ante el referido señor, por la escribanía de D. Juan Antonio de Urraza. AVISOS. En 16 del pasado remitió D. Josef Cevallos, por el correo de Santiago, á Don Tornas Diez Porrua, vecino de Camarinas, dos vales reales de r 50 pesos, 'creados de i.° de e</t>
  </si>
  <si>
    <t>562 ante el referido señor,* por Jaescribánía qué exerce D. Juan Antonio de Urraza. AVISOS. Por auto proveído por la sala de justicia del real y supremo consejo de las Indias en 5 de mayo último , ha resuelto se convoque por medio de este periódico,como se execu</t>
  </si>
  <si>
    <t>Perez Villamil, auditor general del supremo consejo del Almirantazgo, por la escribanía que exerce D. Juan Antonio de Urraza, en el término de 30 dias, contados desde el i.° del corriente. El señor intendente de esta provincia ha señalado el término de 30 dias para la mejora del quarto de varios remates</t>
  </si>
  <si>
    <t>da ante el Sr. D. León de Sagasta, teniente corregidor de esta villa1, por la escribanía que exerce D. Juan Antonio de Urraza. El señor, marques de Fuerte-Híjar, del consejo Real de S. M., juez protector y privativo del real colegio de Niños desamparados de esta villa, ha mandado s?,car nuevamente á públ</t>
  </si>
  <si>
    <t>ejora acuda ant# el Sr, D. León de Sagasta, teniente corregidor de esta villa, por la escribanía de D. Juan Antonio de Urraza; advirtiéndose cster señalado para su nuevo remate el dia 28. del corriente. Por la comisión real de la diócesi ¡de Sevilla , y en. virtud! de providencia de D. Francisco Barreyro</t>
  </si>
  <si>
    <t>en 13,659 rs. Quien quisiere hacer postura acuda ante dicho señor, por la escribanía del número de D. Juan Antonio de Urraza; advirtiéndose que está señalado para su remate el 30 del corriente. avisos. En virtud de providencias del supremo consejo de Castilla, de 2 de julio próximo pasado y i.° del corr</t>
  </si>
  <si>
    <t>de Urriza, Ramón</t>
  </si>
  <si>
    <t>Ramón de Urriza</t>
  </si>
  <si>
    <t>. En América. El rey se há servido conferir el empleó;de ayudante del castillo de S. Juan de Ulúa á D. Ramón de Urriza, teniente del regimiento de infantería de México: asimismo se ha dignado S. M. conferir la sargentía mayor del regimiento de milicias urbanas del comercio de México á í&gt;. Martin A</t>
  </si>
  <si>
    <t>de Valdecañas, Carlos</t>
  </si>
  <si>
    <t>Carlos de Valdecañas</t>
  </si>
  <si>
    <t>miaña catedral de Vailadolid, que asimismo obtenía el referido D. Pedro Nolasco Sánchez Morongo, á Don Cárlos de Valdecañas, cura de la parroquial de Casaseca de las Chañas en la diócesi de Zamora: para una canongía de la colegial del Sacromonte de Granada, vacante por promoción de D. Pedro Muñoz y Arr</t>
  </si>
  <si>
    <t>de Valdivielso, Manuel</t>
  </si>
  <si>
    <t>Manuel de Valdivielso</t>
  </si>
  <si>
    <t>ara otra de la villa deTotana, territorio de la orden de Santiago, de tercera clase ó de término, á D. Manuel de Valdivielso. S. M. se ha servido nombrar para el corregimiento de letras de segunda clase de la villa de Benabarre, en Aragón, á D. Manuel Moreno de la Cuesta. En América. Habiéndose servido</t>
  </si>
  <si>
    <t>de Valenzuela, Gabriel</t>
  </si>
  <si>
    <t>Gabriel de Valenzuela</t>
  </si>
  <si>
    <t>riarca S. Josef, adornada de varias meditaciones, soliloquios y exemplos, compuesta en italiano por D. Gabriel de Valenzuela, sacerdote Barnabita, añadida al fin la devoción para el dia 19 de cada mes. Se hallará en la librería de Escribano, calle de las Carretas, y de Villa, plazuela de Sto. Domingo ;</t>
  </si>
  <si>
    <t>de Valle y Hoyuelo, Francisco</t>
  </si>
  <si>
    <t>Francisco de Valle y Hoyuelo</t>
  </si>
  <si>
    <t>VISOS. I - O . ’ ' ' El 5 de noviembre próximo pasado remitió D. Gregorio de Sa lazar, apoderado de D. Francisco de Valle y Hoyuelo, vecino de Madrid, á D. Manuel de Ánr guio, vecino de Viergol, en el valle de Mena de las Encartaciones de Vizcaya, con último endoso á favor de dicho Sr. Angulo, dos vales reales</t>
  </si>
  <si>
    <t>de Vargas, Antonio</t>
  </si>
  <si>
    <t>Antonio de Vargas</t>
  </si>
  <si>
    <t>a servido S. Ai. conceder empleo.de portaestandarte al sargento primero D. Felipe Muñoz y al cadete D. Antonio de Vargas j y en el de Calatrava tenencia al alférez Don Pedro Yaniz. i ; v j':En consideración á los méritos y circunstancias de D. Marcos Eermu-* dez, administrador de rentas generales y</t>
  </si>
  <si>
    <t>de Vargas, Juan</t>
  </si>
  <si>
    <t>Juan de Vargas</t>
  </si>
  <si>
    <t>egia jes; eL'diai.q hizo altó, en la misma Cha car ira y el Coimandante d¡e las- fuerzas marítimas. D. Juan dé Vargas, Teniente de Navo, coiuisiqno al, declarante para que conduxése' desde las Conchas dos cañones dje.á 18 con sus,múnicipnes;para que se uniesen á la expedición , lo que se melificó</t>
  </si>
  <si>
    <t>Gutiérrez de ¡ta Concha : d capitanes de fragata á los tenientes de navio D. Joaquín Ruiz Huidobro, D. Juan de Vargas, D. Tomas Blanco Cabrera yD.Angel de Mlcbelena: id tenientes de navio á los de fragata D. Josef dejCórdoba y Rúxás ? Di Cándido. de la Sala, D. ¡Josef de Posada, D. Josef Qtiirogá</t>
  </si>
  <si>
    <t>de Vargas, Nicolás</t>
  </si>
  <si>
    <t>Nicolás de Vargas</t>
  </si>
  <si>
    <t>leros Don Santiago Santisteban; á tenientes de fusileros á los subtenientes D. Josef Perez Bermejo, D. Nicolás de Vargas y D. Pedro Mendoza; á subteniente de fusileros al sargento prlnero D. jacinto S'alazar, y de bandera á Don Juan Ventura Salazar, también sargento primero^ y al soldado distinguido D.</t>
  </si>
  <si>
    <t>de Vegas, Pedro</t>
  </si>
  <si>
    <t>Pedro de Vegas</t>
  </si>
  <si>
    <t>rand-pré y D. Alexo Lessacier; y á Subtenientes de bandera á los Cadetes D. Juan Josef de Noricga , Don Pedro de Vegas y D. Martin Palao, y al Sargento primero D. Josef Urgullo. Observaciones sobre la cosecha de aceyte que constantemente producen los olivos de la Alcudia de Veo en la sierra de Espalan</t>
  </si>
  <si>
    <t>de Velasco, Bernardo</t>
  </si>
  <si>
    <t>Bernardo de Velasco</t>
  </si>
  <si>
    <t>l estado noble de la villa de Valdemoro, á virtud de los reales decretos de S. M., y á instancia do D. Bernardo de Velasco, marido y conjunta persona de Doña María Joaquina Florín y Vaidazo, poseedora del vínculo que en ella fundó Pedro Sánchez Chamorro, y agregación de Ana Martínez, se han mandado sa</t>
  </si>
  <si>
    <t>al mando del coronel D. César Balviani, con banderola roxa: la izquierda por el de la misma clase ^D. Bernardo de Velasco, gobernador del Paraguay y Misiones, con banderola blanca;y el centro por el coronel £&gt;.Xavier £lío, con banderola azul; la artillería de batalla y obuses, en número de 44 piezas,</t>
  </si>
  <si>
    <t>de Velasco, Martín</t>
  </si>
  <si>
    <t>Martín de Velasco</t>
  </si>
  <si>
    <t>las posturas que hicieren, siendo arregladas, viniendo ei pliego de ellas abonado á satisfacción de D. Martin de Velasco, tesorero del mismo concejo; en la inteligencia de que el remate se ha de celebrar dentro de óo dias contados desde el 9 del presente. Por providencia del Sr. D. Ignacio Martínez</t>
  </si>
  <si>
    <t>de Veyan, Juan Esteban</t>
  </si>
  <si>
    <t>Juan Esteban de Veyan</t>
  </si>
  <si>
    <t>supiese el paradero de una acción del banco nacional de S. Carlos, núm. 133,142 , correspondiente á D. Juan Esteban de Veyan yEdmeston, que se extravió en el año pasado de 1799, se servirá entregarían dicho señor en la calle de la Ballesta, núm. 1, quarto 2.0 .. Se halla vacante la plaza de médico de la v</t>
  </si>
  <si>
    <t>de Vilíanueva, Antonio</t>
  </si>
  <si>
    <t>Antonio de Vilíanueva</t>
  </si>
  <si>
    <t>rincipiando desde el mártes io del mismo mes. VENTAS JUDICIALES. Por auto proveído por el limo. Sr. D. Antonio de Vilíanueva, del consejo y cámara de S. M. en el real y supremo de Castilla, juez privativo en virtud de real orden para el conocimiento de todos los autos, asuntos y demas incidencias tocant</t>
  </si>
  <si>
    <t>de Villa y Torre, Pablo</t>
  </si>
  <si>
    <t>Pablo de Villa y Torre</t>
  </si>
  <si>
    <t>ato; con la prevención que su remate está señalado para el dia 25 del corriente. Por providencia de D. Pablo de Villa y Torre , comisionado regio para la venta de bienes eclesiásticos secularizados en la diócesi de Santander, lugar de Lloreda Real . valle de Cayon, se ha señalado el dia 6 de julio próxim</t>
  </si>
  <si>
    <t>de Villalba, Francisco</t>
  </si>
  <si>
    <t>Francisco de Villalba</t>
  </si>
  <si>
    <t>presencia de los señores mafqüés de los Llanos de Alguazas, caballero de la orden de Santiago, y de D. Francisco de Villalba, que lo es de la distinguida española de Garlos m, consiliarios y secretarios por S.M. de la real junta de dirección y gobierno de los hospitales General y de la Pasión de esta co</t>
  </si>
  <si>
    <t>de Villalba, Ramón</t>
  </si>
  <si>
    <t>Ramón de Villalba</t>
  </si>
  <si>
    <t>iscal de campo D. Be Dito San Juan ; y por inspector gener ral de la caballería ligera al brigadier D. Ramón de Villalba, coronel del regimiento de dragones del Rey. Asimismo se ha servido S.M. promover á teniente generar de sus exércítos al mariscal de campo D. Alexandróconde de Coupigny, teniente</t>
  </si>
  <si>
    <t>ardias de Corps; D. Manuel Craiwinckel, sargento mayor del regimiento de reales guardias Valonas; y D. Ramón de Villalba, inspector general de la caballería ligera. El Rey se ha servido nombrar para el corregimiento de letras de la ciudad de Zamora, de tercera ó superior clase, á D. Ignacio Yañez Ri</t>
  </si>
  <si>
    <t>de Vilmont, Carlos</t>
  </si>
  <si>
    <t>Carlos de Vilmont</t>
  </si>
  <si>
    <t>nfantería de la Luisiana se ha servido el Rey promover á Capitanes de granaderos á los de fusileros D. Carlos de Vilmont , graduado de Teniente Coronel., .y D. Joaquín de Chorno : á -Capitanes á les Tenientes D. Antonio Coudougnan, de granaderos,D. Bartolomé Pellerin, D. Ignacio Fernandez de Velasco</t>
  </si>
  <si>
    <t>de Vite, Carlos</t>
  </si>
  <si>
    <t>Carlos de Vite</t>
  </si>
  <si>
    <t>os números 75, 29, 56, 28 y 3; y con ellos han ganado los jugadores 804,031: rs. Por providencia de D. Carlos de Vite, comisionado regio para la venta de bjenes eclesiásticos en la diócesi de Badajoz, se ha señalado el dia 27 del corriente para el remate de un olivar, al sitio de la Granadilla, c</t>
  </si>
  <si>
    <t>de Vivanco, Manuel Benito</t>
  </si>
  <si>
    <t>Manuel Benito de Vivanco</t>
  </si>
  <si>
    <t>spondiendo á satisfacción del lucido y numeroso concurso. Se adjudicaron los dos primeros premios á D. Manuel Benito de Vivanco y D. Valentín Suender, y los seis segundos á D. Juan de Aróstegui, D. Vicente de Ibarrola, D. Cayetano de Gironda, D. Josef de Soto, D. Josef del Valle y D. Francisco Mingo Fuentes, h</t>
  </si>
  <si>
    <t>de Wite, Carlos</t>
  </si>
  <si>
    <t>Carlos de Wite</t>
  </si>
  <si>
    <t>os que tuvieron mas motivo de conocerlas y experimentarlas. • VENTAS JUDICIALES. Por providencia de D. Carlos de Wite, juez comisionado regio para la venta de bienes eclesiásticos en la diócesi de Badajoz, se ha señalado el dia 24 de esté mes para el remate de una dehesa de pasto nominada la Parr</t>
  </si>
  <si>
    <t>ualquiera de dichas- fincas» acuda á la escribanía de Fernando García del Rosal, Por procidencia de D. Carlos de Wite, comisionado regio para la venta de bienes eclesiásticos en la diócesi de Badajoz , se ha señalado el 1 j del presente para el remate de una roza al sitio- de Hinojales, término d</t>
  </si>
  <si>
    <t>Negrete, inspector general de infantería: la comandancia general de Guipúzcoa al mariscal de campo D. Carlos de Wite; y el gobierno militar y político de la plaza de Badajoz al mariscal de campo conde de la Torre del Fresno, Habiendo resuelto ^1 Rey que se divida en dos la inspección general de</t>
  </si>
  <si>
    <t>de Witre, Carlos</t>
  </si>
  <si>
    <t>Carlos de Witre</t>
  </si>
  <si>
    <t>se ha servido conferir el gobierno militar y político de la plaza de Barcelona al mariscal de campo D. Cárlos de Witre, comandante general de la provincia de Guipúzcoa; esta comandancia general al mariscal de campo duaue de Mahon, gobernador de la plaza de Tortosa; y este gobierna á D. Santiago de</t>
  </si>
  <si>
    <t>de Witte, Carlos</t>
  </si>
  <si>
    <t>Carlos de Witte</t>
  </si>
  <si>
    <t>executará por la escribanía de la comisión, que ex?rce D. Manuel María Valverde. Por providencia de D. Carlos de Witte, comisionado regio para la venta de bienes eclesiá ticos en la diócesi de Badajoz,se ha señalado el 22 del corriente para el remate de una parte de yerba de la dehesa de la Natera</t>
  </si>
  <si>
    <t>de Würtemberg, Fernando (príncipe)</t>
  </si>
  <si>
    <t>Príncipe Fernando de Würtemberg</t>
  </si>
  <si>
    <t>de 1771 con la Princesa María Beatriz, hija del Duque Hércules ni de Módena, Reggio y Mirándola. El Príncipe Fernando de Würtemberg, Gobernador de Vierta y de Austria la baxa, se ha retirado del servicio de esta monarquía con motivo de las nuevas relaciones de su casa y de la situación actual de los negocios d</t>
  </si>
  <si>
    <t>de Yarritu, Antonio</t>
  </si>
  <si>
    <t>Antonio de Yarritu</t>
  </si>
  <si>
    <t>de Lezama; y no habiendo llegado á su destino quien supiere su paradero avisará en Madrid al citado D. Antonio de Yarritu, que vive en la plazuela del Aagel, y en Lezama al mismo D. Domingo Lorenzp de Perca. Se desea saber el paradero de Juan WrbanoHaJ?ermacher,natural de Rickem, bach', en el cantón</t>
  </si>
  <si>
    <t>de Yepes, Fernando Antonio</t>
  </si>
  <si>
    <t>Fernando Antonio de Yepes</t>
  </si>
  <si>
    <t>en esta provincia, nuestro gobernador político y militar I). Juan Alvarez Lorenztna,'de acuerdo con D. Fernando Antonio de Yepes, del hábito de Samiago, vicario general, juez eclesiástico ordinario de este territorio, y baxo la aprobación correspondiente del señor comisionado regio D. Adrián Marcos Martínez</t>
  </si>
  <si>
    <t>de Yepes, Tomás</t>
  </si>
  <si>
    <t>Tomás de Yepes</t>
  </si>
  <si>
    <t>, Maestrescuela: para la maestrescolía al tesoreroD. Calixto Mirandat para la tesorería af canónigo D. Tomas de Yepes: para esta canongía al racionero D. Santiago Josef López Ruiz, y para esta resulta al medio-racio</t>
  </si>
  <si>
    <t>de Zamacola, Juan Antonio</t>
  </si>
  <si>
    <t>Juan Antonio de Zamacola</t>
  </si>
  <si>
    <t>acreedores de dic ho ó asamayor, que ve ha de celebrar en la habitación del escribano de provincia D. Juan Antonio de Zamacola, calle del Lobo, esquina á la de la Visitación , núm. *8, quarto baxo; en inteligencia que de no hacerlo asi les parará el perjuicio que hubiere lugar. Se halla vacante la plaza d</t>
  </si>
  <si>
    <t>de Zamácola, Juan Antonio</t>
  </si>
  <si>
    <t>Juan Antonio de Zamácola</t>
  </si>
  <si>
    <t>cia, que por ausencia del señor Junco despacha ahora el Sr. D. Tomas Casanova, por la escribanía de D. Juan Antonio de Zamácola. Quien quisiere comprar una casa sita eh esta corte, plazuela antigua de la Paja, al baxar de las calles de S. Miguel y Caballero de Gracia, tasada en 406,264»., acuda en el térmi</t>
  </si>
  <si>
    <t>de Zamora, Miguel Antonio</t>
  </si>
  <si>
    <t>Miguel Antonio de Zamora</t>
  </si>
  <si>
    <t>la de Coin; previniéndose estar señalado el dia 27 del corriente parí su remate. Por providencia de D. Miguel Antonio de Zamora, subdelegado del departamento de Irun, en Navarra, se han mandado subastar las fincas siguientes: la cape* ilanía de D. Diego de Lasarte, fundada en la parroquial de la universida</t>
  </si>
  <si>
    <t>de Zayas, Juan Antonio</t>
  </si>
  <si>
    <t>Juan Antonio de Zayas</t>
  </si>
  <si>
    <t>l de fusileros D. Manuel Conde ; á Tenientes de fusileros á los Subtenientes D. Henrique Arroyüelo, D. Juan Antonio de Zayas, D. Pascual Diaz Granados y D. Simón Guerrero; á Subteniente de granaderos al de fusileros D. Esíéoan Morrón &gt; á Subtenientes de fusileros á los Cadetes D. Manuel XJrueta y D. Man</t>
  </si>
  <si>
    <t>de Zomellera, Pedro</t>
  </si>
  <si>
    <t>Pedro de Zomellera</t>
  </si>
  <si>
    <t>uay, en el vireynato de Buenos Ayres, vacante por fallecimiento de D. Josef Martínez de Pinillos, á D. Pedro de Zomellera, abogado de aquella real audiencia. S. M., á consulta del real y supremo consejo de Castilla, se ha servido conceder á la villa de Fregenal de la Sierra competente facultad para q</t>
  </si>
  <si>
    <t>De, Cardenal</t>
  </si>
  <si>
    <t>Cardenal De</t>
  </si>
  <si>
    <t>lo ha hecho. Escriben de Roma que ha llegado felizmente á aquella capital desde España el Emo. Sr. Cardenal De&amp;puig. REYNO DE ITALIA. Venecia ji de setiembre. Si se ha de dar crédito á las cartas de Milán, nuestro amado Soberano el Emperador y Rey vendrá aqui en el próximo mes de octubre,</t>
  </si>
  <si>
    <t>Decrés</t>
  </si>
  <si>
    <t>esarias para ello. Esta providencia, junto con el viage que acaba de hacer el ministro de la Marina Mr. Decrés, á ñn de examinar las costas y puertos del norte de la Francia, no dexan la menor duda sobre que el- Emperador-vuelve su atención á los preparativos de ataque é invasión de Inglat</t>
  </si>
  <si>
    <t>del Barrio, Julián</t>
  </si>
  <si>
    <t>Julián del Barrio</t>
  </si>
  <si>
    <t>levaba un obelisco de 4 varas de altura. Colocadas las caxas en el túmulo, pro-7 nuncio el canónigo D. Julián del Barrio una enérgica y oportuna oración, y en seguida procedió el Sr. Obispo á la bendición solemne: finalmente se depositaron los huesos del Sr. Manrique y del limo. Sr. Cándamo en los s</t>
  </si>
  <si>
    <t>del Barrio, Manuel</t>
  </si>
  <si>
    <t>Manuel del Barrio</t>
  </si>
  <si>
    <t>D. Antonio Hernández, á cada uno la suya por el mismo motivo; y el tercero de dos orzas de plata á D. Manuel del Barrio. Asimismo es la voluntad del Rey que, en atención al sobresaliente mérito que se encuentra en todos los aspirantes, para mayor estímulo de su laboriosidad y adelantamiento en la c</t>
  </si>
  <si>
    <t>sobre la fecundación vegetal, y explicar la familia de los heléchos según el sistema de Smith; y á D. Manuel del Barrio disertar sobre la germinación, y explicar la familia de las compuestas según el sistema de Linneo y según el de Jussieu. En uno y otro exercicio sati íicieron completamente á las</t>
  </si>
  <si>
    <t>del Camino y Orella, Joaquín Antonio</t>
  </si>
  <si>
    <t>Joaquín Antonio del Camino y Orella</t>
  </si>
  <si>
    <t>nero de j8oi. — Obras de $. Cipriano, obispo y martJr, traducidas por el Dr. D. Joaquín Antonio del Camino y Orella , canónigo de la catedral de Lugo. Es la primera versión que se ha hecho en castellano de las obras del padre mas eloqíicnte de la iglesia latina, quando ya otras naciones cultas de Europa l</t>
  </si>
  <si>
    <t>del Campo, Buenaventura</t>
  </si>
  <si>
    <t>Buenaventura del Campo</t>
  </si>
  <si>
    <t>mer teniente de granaderos ai de fusileros D. Josef Delahanty: á primer ayudante al primer teniente D. Buenaventura del Campo: á primeros tenientes de fusileros á Jos segundos D. Miguel Manzano y D. JuanPerdomo: á segundos tenientes á los subtenientes D. Carlos Carta, éste de granaderos, D. Rafael del Ca</t>
  </si>
  <si>
    <t>del Campo, Rafael</t>
  </si>
  <si>
    <t>Rafael del Campo</t>
  </si>
  <si>
    <t>zano y D. JuanPerdomo: á segundos tenientes á los subtenientes D. Carlos Carta, éste de granaderos, D. Rafael del Campo y D. Manuel de León y Romero; y á subtenientes á D, Aureliano Carabeo, este de granaderos, D. Atanasio Domínguez, y al sargento primero D. Joaquín Marín. El rey se ha dignado nombrar</t>
  </si>
  <si>
    <t>del Castillo Beíencourt, Juan</t>
  </si>
  <si>
    <t>Juan del Castillo Beíencourt</t>
  </si>
  <si>
    <t>D. Miguel de Ba térra , comisario de real hacienda de las minas del Almadén; y para este destino á D. Juan del Castillo Beíencourt. Jín América. E1 Rey se ha servido nombrar subtenientes de las compañías de la brigada de artilleros veteranos del departamento de PuertoRico á D. Antonio García, sargento de las</t>
  </si>
  <si>
    <t>del Castillo, Francisco</t>
  </si>
  <si>
    <t>Francisco del Castillo</t>
  </si>
  <si>
    <t>ra; á ayudante al teniente de granaderos Don Manuel Gómez; á teniente de granaderos al de fusileros D. Francisco del Castillo; á tenientes á los subtenientes de granaderos D. Millan Moreno y D. Marcos Quíntela; á subtenientes de granaderos á los de fusileros Don Mariano Romay y D. Josef de la Torre; y á</t>
  </si>
  <si>
    <t>del Castillo, Isidoro</t>
  </si>
  <si>
    <t>Isidoro del Castillo</t>
  </si>
  <si>
    <t>plaza á D. Miguel Perez Girón, D. Simón Perez, D. Pedro de Barcia, Santiago Celada, D. Pedro Garay, D. Isidoro del Castillo, D. Miguel Llaguno, IX Pedro Baranda, JoaquinGuio, Jcsef Mendez, Bartolomé Martin, Pedro Guio, Vívente Crespo, D. Josef García Suelto, Francisco Quintín Sánchez, D. Juan Muñoz, D.</t>
  </si>
  <si>
    <t>del Castillo, Pedro</t>
  </si>
  <si>
    <t>Pedro del Castillo</t>
  </si>
  <si>
    <t>se ha servido conferir la tenencia Coronela del regimiento de dragones de Pavía al teniente coronel D. Pedro del Castillo, sargento mayor del de dragones de Lusitama, y esta resulta al coronel D. Manuel Azlor, capitán del citado de Pavía. Deseando el Sermo. Sr. Príncipe Generalísimo Almirante acceder</t>
  </si>
  <si>
    <t>del Gallo, Ambrosio</t>
  </si>
  <si>
    <t>Ambrosio del Gallo</t>
  </si>
  <si>
    <t>el regimiento de infantería del Príncipe se ha servido S¿ M. pronto* ver á teniente al subteniente D. Ambrosio del Gallo, y 4 subtenientes dé bandera en el de Mallorca al sargento primero de granaderos £&gt;. Antonio» Galian, y al cadete D. Juan Bautista Albelda. S. M. se ha servido nombrar subteniente</t>
  </si>
  <si>
    <t>del Pilar Fernández de Miranda Villacis y la Cueva, María</t>
  </si>
  <si>
    <t>María del Pilar Fernández de Miranda Villacis y la Cueva</t>
  </si>
  <si>
    <t>s y 7 meses de edad, falleció en el re?! monasterio de señoras Calatravas de Madrid la Excma. ,Sra. Doña María del Pilar Fernandez de Miranda Villacis y la Cueva, condeía viuda de Fuenciara, dama de la real orden de la Reyna María Luisa. Las virtudes de esta señora, su buen trato, y continuo anhelo en socorrer las necesidades de los establ</t>
  </si>
  <si>
    <t>del Pino, Francisco</t>
  </si>
  <si>
    <t>Francisco del Pino</t>
  </si>
  <si>
    <t>iérrez. yS. M. sélia servido promover en el real cuerpo de artillería á teniente coronel al capitán D. Francisco del Pino; y á capitán al capitán segundo D. Cristóbal Pomar.</t>
  </si>
  <si>
    <t>del Pino, Ramón</t>
  </si>
  <si>
    <t>Ramón del Pino</t>
  </si>
  <si>
    <t>$2 - ' dante de la Colonia del Sacramento D. Ramón del Pino, quienes con sos dádivas y exhortes han contribuido infinitamente al entusiasmo y exáltado denuedo con que nuestras tropas han ido á buscar y vencer al enemigo, despreciando fatig</t>
  </si>
  <si>
    <t>del Rey, Andrés</t>
  </si>
  <si>
    <t>Andrés del Rey</t>
  </si>
  <si>
    <t>Fernandez ; á Teniente Coronel al Capitán D. Henrique Diez Canseco; y á Capitán al Capitán segundo Don Andrés del Rey. Habiendo acreditado los Caballeros Cadetes del Real Cuerpo, de Artillería en los últimos exámenes que sucesivamente han tenido en el Alcázar de Segovia su completa instrucción en</t>
  </si>
  <si>
    <t>del Riego, Joaquín</t>
  </si>
  <si>
    <t>Joaquín del Riego</t>
  </si>
  <si>
    <t>la de Valladolid; y para plaza supernumeraria de alcalde del .crimen de la audiencia de Zaragoza á D. Joaquín del Riego. También se ha servido S. M., por decreto de 5 de octubre de 1802, conceder merced de título de Castilla á D. Manuel de Oáa San Juan y Dolz de Espejo para sí, sus hijos y sucesore</t>
  </si>
  <si>
    <t>del Rio, Agustín</t>
  </si>
  <si>
    <t>Agustín del Rio</t>
  </si>
  <si>
    <t>la primera por ascenso de D. Juan Martínez de los Ríos á la tesorería , y la segunda por muerte de D. Agustín del Rio, á D. Miguel Ignacio de Girate, y á D. Josef María Hidalgo. El Rey se ha dignado conceder ayudantías veteranas en los cuerpos de milicias disciplinadas del reyno de Gcatemala, en</t>
  </si>
  <si>
    <t>del Rosario Cepeda de Gorostiza, María</t>
  </si>
  <si>
    <t>María del Rosario Cepeda de Gorostiza</t>
  </si>
  <si>
    <t>iótico en el último año académico, y de sus 3 clases de agricultura, industria y oficios; y la Sra. Doña María del Rosario Cepeda de Gorostiza, como secretaria de la junta de señoras de honor y mérito, leyó también la relación de las ocupaciones de la misma junta en el mismo año, y el estado de los establecimientos públi</t>
  </si>
  <si>
    <t>del Val, Andrés</t>
  </si>
  <si>
    <t>Andrés del Val</t>
  </si>
  <si>
    <t>Vicente, y á dos niñas del mismo colegio. Cedieron la parte pecuniaria del premio D. Josef Escriba, D. Andrés del Val, D. Joaquín Fusell, D. Manuel Croselles, D. Juan Ribera Colechá, Doña María Vecino, Doña Manuela Taraneo, Doña Rafaela Bordenove y Doña Franca Ximenez. Continuóse publicando la ad</t>
  </si>
  <si>
    <t>Delambre</t>
  </si>
  <si>
    <t>Legendre, leyó Mr. Vauquelin una memoria circunstanciada sobre este asunto, tan útil como curioso. Mr. Delambre leyó los elogios históricos de Brisson y de Coulomb; Mr; Cuvier el de Adanson, y Mr. Hriiy una memoria sobre los fenómenos galbánicos descubiertos por Ermann, individuo de la Acad</t>
  </si>
  <si>
    <t>nferido la cátedra de astronomía de dicho colegio, vacante por fallecimiento de Gerónimo Lalande, á Mr. Delambre, secretario perpetuo de la clase de ciencias físicas y matemáticas del instituto. Escriben de Milán, que madama Lena Perpenti de Como, que en 1806 habla ganado ya una medalla de h</t>
  </si>
  <si>
    <t>Delancour</t>
  </si>
  <si>
    <t>de Constantinopla, adonde habia ido con una comisión. El Emperador de todas las Rusias ha enviado á Mr. Delancour, corregidor de Luaeville, una sortija de gran valor, en demostración del aprecio que le ha merecido la humanidad con que este magistrado ha tratado á los prisioneros rusos que han</t>
  </si>
  <si>
    <t>Delesscrt</t>
  </si>
  <si>
    <t>s. En el discurso del año se h?n vacunado 183 niños. Según las cuentas presentadas por el tesorero, Mr. Delesscrt, el total de caudales</t>
  </si>
  <si>
    <t>Delgado Perlines, Manuel</t>
  </si>
  <si>
    <t>Manuel Delgado Perlines</t>
  </si>
  <si>
    <t>manos muertas, ni en menos cantidad que la en que respectivamente están tasadas. Por providencia de D. Manuel Delgado Perlines, juez comisionado subalterno para la venta de bienes eclesiásticos secularizados en eí departamento de Mercadi11o de Mena, núm. 7, diócesi de Santander, se ha señalado el dia 3 de</t>
  </si>
  <si>
    <t>da á la escribanía de la misma comisión, que despacha D. Antonio Hermoso Migues. Por providencia de D. Manuel Delgado Perlines, juez comisionadó regio para la venta de bienes eclesiásticos secularizados en la diócesi de Santander, se ha señalado el dia 18 dei que rige para el remate de 93 heredades y 3 ca</t>
  </si>
  <si>
    <t>uirá de los referidos reparos y con* diciones del remate. Por providencia del alcalde mayor de Mena D. Manuel Delgado Perlines, juez comisionado subalterno para la venta de bienes eclesiásticos secularizados en la diócesi de Santander, de la que es comisionado regio D. Luis Arguedas, se ha señalado el dia</t>
  </si>
  <si>
    <t>Delgado Ramos, Luis</t>
  </si>
  <si>
    <t>Luis Delgado Ramos</t>
  </si>
  <si>
    <t>que obtiene: para una canongía de la catedral de Sigiienza, vacante por muerte de D. Juan Melero, á D. Luis Delgado Ramos, catedrático de derecho antiguo de ia universidad de Salamanca: para el beneficio préstamo deVnlalgordo del Marques ado, en la diócesi de Cuenca, vacante por haber contraído matri</t>
  </si>
  <si>
    <t>Delgado, Jorge</t>
  </si>
  <si>
    <t>Jorge Delgado</t>
  </si>
  <si>
    <t>édico , que vale 800 ducados cobrados por la justicia. Los pretendientes dirigirán sus memoriales á D. Jorge Delgado, alcalde de primer voto, hasta último de junio en que se proveerá. En la villa de Albelda de Aragón, partido deBarbastro,con orden real se establece de nuevo una escuela de niñas,</t>
  </si>
  <si>
    <t>Delgado, Juan</t>
  </si>
  <si>
    <t>Juan Delgado</t>
  </si>
  <si>
    <t>colás Merino; y para esta vacante á D. Alexo de la Cueva, cura de aquel obispado: para la tercera á D. Juan Delgado; y para la ración que este dexa á D. Josef Vicente Beltran, conde de Sta. Rosa, cara asimismo de dscho obispado: para la primera ración á D. Josef Joaquín de Unzueta: para la sega</t>
  </si>
  <si>
    <t>Delilie</t>
  </si>
  <si>
    <t>junta pública, en la que Mr. Frauqois de Neufchateau leyó el elogio del último duque de Nivernois. Mr. Delilie leyó igualmente algunos retazos de dos poemas que está trabajando. El abate Sicard presidió la junta, que fu© muy concurrida y brillante. El 24 hubo exercicios públicos en la escu</t>
  </si>
  <si>
    <t>Demblans, Juan Pablo</t>
  </si>
  <si>
    <t>Juan Pablo Demblans</t>
  </si>
  <si>
    <t>cias á los subtenientes D. Cristóbal Ochoa y D. Eugenio Ibanez, y subtenencias de bandera al cadete D. Juan Pablo Demblans, y al sargento primero de granaderos D. Marcos Furriel. En atención á los méritos y* circunstancias de D. Josef María Puig, ministro del consejo, y honorario de la cámara, se ha s</t>
  </si>
  <si>
    <t>Demetrio Constante</t>
  </si>
  <si>
    <t>lanis; y en el de voluntarios de la Corona subtenencia de bandera al sargento primero de granaderos D. Demetrio Constante.</t>
  </si>
  <si>
    <t>Demetrio LabanoíF de Rostoff, Príncipe</t>
  </si>
  <si>
    <t>Príncipe Demetrio LabanoíF de Rostoff</t>
  </si>
  <si>
    <t>sas de Dambrog y de la Union perfecta, y baylío gran cruz de la orden ae S. Juan de Jerusalen; Y al Príncipe Demetrio LabanoíF de Rostoff, teniente general de los exércitos de S. M. el Emperador de todas las Rusias, caballero de las órdenes de Sta. Ana, de primera clase, de la orden militar de S. Jorge, y de la orde</t>
  </si>
  <si>
    <t>Demetrio Labari'jjf de Ros, Príncipe</t>
  </si>
  <si>
    <t>Príncipe Demetrio Labari'jjf de Ros</t>
  </si>
  <si>
    <t>7. = Carlos Mauricio Talleyr and\ Príncipe de, B-nuvcnto.zz. El Príncipe Ale xandró Kottrakhi. = El Príncipe Demetrio Labari'jjf de Ros:lojf. Las ratificaciones del presente tratado se cangearon en Tilsit el 9 de julio.</t>
  </si>
  <si>
    <t>Demetrio Ortiz</t>
  </si>
  <si>
    <t>ncisco Melgarejo el primero, D. Josef Viedma el segundo. En la de poética y retórica , del cargo de D. Demetrio Ortiz, D. Cárlos O-Reilly el primero y único premio. En la</t>
  </si>
  <si>
    <t>Dengo, Juan</t>
  </si>
  <si>
    <t>Juan Dengo</t>
  </si>
  <si>
    <t>á D. Lázaro Pablos; y en los escuadrones de dragones de S. Miguel á D. Antonio Culebras, de Yoro á D. Juan Dengo, de Sonsonate á D. Gregorio Royo, de Nueva-Segovia á D. Francisco Texedor, todos sargentos primeros veteranos de los mismos cuerpos. S. M. se ha servido conferir el gobierno milit</t>
  </si>
  <si>
    <t>Denon</t>
  </si>
  <si>
    <t>na gran partida de preciosidades relativas á las artes, recogidas en el palacio de Hesse Cassel por Mr. Denon, director general del museo Napoleón. La Francia, que debe ya tantos monumentos preciosos á su inmortal Emperador, le deberá nuevamente la posesión de muchos modelos. Esta partida</t>
  </si>
  <si>
    <t>en los teátros principales___ ..."En celebridad de un acontecimiento tan glorioso para la Francia, Mr. Denon, director del museo imperial, mandó que se abriesen ayer mismo rara el publico las ralas que contienen los monumentos de todas clase? adquiridos por el valor de nuestros soldados</t>
  </si>
  <si>
    <t>Dent</t>
  </si>
  <si>
    <t>motivo de la propuesta para la tercera lectura del bilí y relativo á la compañía de Sierra-Leona , Mr. Dent observó que el parlamento había concedido á esta compañía una suma de cerca de 109® libras esterlinas, y que no habiéndose verificad© el objeto para que se habla pedido, que era p</t>
  </si>
  <si>
    <t>Denuls Browne</t>
  </si>
  <si>
    <t>los peligros que amenazan al estado, y precaver la ruina de este poderoso imperio.” A propuesta de Mr. Denuls Browne, diputado de Irlanda, se mandó retirar al público. Sin embargo se ha sabido que Mr. VVhitbread trató particularmente de los peligros de que está amenazado el reyno por la mudanza</t>
  </si>
  <si>
    <t>Deroi, General</t>
  </si>
  <si>
    <t>General Deroi</t>
  </si>
  <si>
    <t>o el tnando del sitio al General Vandamme en la orilla-izquierda del Oder, quedando en ládérécha el General Deroi. ; ; , Apénas había mandado el General Vandamme qué lás trópás Volviesen Asuspüestos , quandó el General Montbriíó, 'qué estaba de obsérvacidn sofíre'lo* caminos de Ohlau y de Str</t>
  </si>
  <si>
    <t>Desmazures</t>
  </si>
  <si>
    <t>ncurrida y brillante. El 24 hubo exercicios públicos en la escuela de sordomudos. En ellos preguntó Mr. Desmazures al célebre mudo Masnieu ¿qué cosa era la religión f Y este escribió , sin detenerse : ,, la religión es el catalogo de las obligaciones del hombre, la brúxula para el cielo , el n</t>
  </si>
  <si>
    <t>Desougier</t>
  </si>
  <si>
    <t>e Cristophe había sido reconocido Emperador en Hayti. . - DINAMARCA. ■ Copenhague 16" de Diciembre. Mr. Desougier, Encargado de negocios de Francia, que salió el n para Kiel, ha sido recibido con la mayor distinción por el Príncipe Real, quien le ha convidado á comer. Parece que la Dinamarca</t>
  </si>
  <si>
    <t>Después</t>
  </si>
  <si>
    <t>rvidor.s Santiago Linters.zz Buenos- Ay res 5 de julio de i8o7.=Excmo. Sr. D. John Whitelocke.__ P. D. Después de escrita la presente ha caído prisionero el general Crowford con toda su división y muchos oficiales de varios regimientos. = Es cop‘12. —Alanuel Gallego. Núm. 7.0 Traducción. (¿uart</t>
  </si>
  <si>
    <t>Dewinter, Mariscal</t>
  </si>
  <si>
    <t>Mariscal Dewinter</t>
  </si>
  <si>
    <t>anNyeveldt. Solo falta yz que nombrar un Mariscal de Holanda y el Coronel general de Artillería. El Mariscal Dewinter desempeñará las funciones de Coronel general de Marina durante la ausencia del Vice-Almirante Hasting. Se asegura que el discurso pronunciado por la comisión encargada de abrir el nu</t>
  </si>
  <si>
    <t>Di Martín Xavier de Muzquiz</t>
  </si>
  <si>
    <t>dad: A su imitación-muchos de los concurrentes ofrecieron varios dotes en esta forma: el corregidor Dr. Di Martin Xavier de Muzquiz ofreció uno ; el censor dé la real sociedad D. Mateo Diez y Duran, intendenta general dé está ciudad y provincia, otro; el tesorero D. Fermín Remon dos; D¿ Bernardo Esquivel, baró</t>
  </si>
  <si>
    <t>Di, Juan Antonio</t>
  </si>
  <si>
    <t>Juan Antonio Di</t>
  </si>
  <si>
    <t>e un‘á fanega) en 550 rs. Quien quisiere hacer postura acuda ante dicho señor, por la escribanía de D. Juan Antonio Di,az Noríega. , , ' „ r Por providencia deiy de tnaríró últímp del Sr. T&gt;.'Ignacio Martínez de VíIIeía, juez que én virtud de, réal^Ófden cóflocé de^lbij autos deTestamentaría dela</t>
  </si>
  <si>
    <t>Díaz Argote, Juan Agustín</t>
  </si>
  <si>
    <t>Juan Agustín Díaz Argote</t>
  </si>
  <si>
    <t>ón de D. Domingo Blandin,á D. Francisco Antonio Pimentel; y para la media-ración que este obtenia á D. Juan Agustín Díaz Argote. ESTADISTICA. El imperio de Rusia apenas tiene igual en territorio, y en población es uno de los mas poderosos de Europa; £1 primer censo se hizo de orden de Pedro el Grande en 17</t>
  </si>
  <si>
    <t>Díaz de Arcaya, Juan Manuel</t>
  </si>
  <si>
    <t>Juan Manuel Díaz de Arcaya</t>
  </si>
  <si>
    <t>ias conduzca por dicho rio mayor-número de machones ó viguetas , no baxando de 200 piezas. El socio D. Juan Manuel Díaz de Arcaya ofrece 2 onzas de oro por las 2 primeras almadias que se baxen desde Vinuesa hasta ei puente de esta oiui</t>
  </si>
  <si>
    <t>Díaz de la Guardia, Pedro</t>
  </si>
  <si>
    <t>Pedro Díaz de la Guardia</t>
  </si>
  <si>
    <t>ien tuvo á bien S. M. nombrar para ella á consulta de la cámara de 8 de noviembre del año pasado, á D. Pedro Diaz de la Guardia, cura de Nixar en la diócesi de Almería: para la canongía vacante en la colegial dei Salvador, de Sevilla, por muerte de D. Diego Ramos de Rueda, á D. Juan Cristóbal Fernandez Ser</t>
  </si>
  <si>
    <t>Díaz de Valdé, Pedro</t>
  </si>
  <si>
    <t>Pedro Díaz de Valdé</t>
  </si>
  <si>
    <t>orden de dominicos y provincial de Tierra santa: para el de Barcelona, vacante por muerte del Rev. D. Pedro Díaz de Valdé;, á D. Pablo Sichar, chispo in partibus de Gerra, y auxiliar de aquella diócesi: para una ración de la catedral de Lérida, vacante por promoción de D. Diego Andrés Teruel al deana</t>
  </si>
  <si>
    <t>Díaz de Valdés, Pedro</t>
  </si>
  <si>
    <t>Pedro Díaz de Valdés</t>
  </si>
  <si>
    <t>ria natmai con respecto á Cataluña, todas dos partcsr'con permiso de su autor el Excmo. é limo. Sr. D. Pedro Díaz de Valdés, Caballero Gran Cruz de la Real y distinguid.! Orden Española de Carlos ni, del Consejo de S. M&gt;, y Obispo 4c Ba rcelona. Estos útiles é importantes discursos se hallaban disperso</t>
  </si>
  <si>
    <t>Díaz del Hoyo, Joaquín</t>
  </si>
  <si>
    <t>Joaquín Díaz del Hoyo</t>
  </si>
  <si>
    <t>fonso Matcelino Gómez. Por la comisión real de la diócesi de Sevilla, y en virtud de providencia de D. Joaquín Díaz del Hoyo, subdelegado en la ciudad de Xerez de la Frontera para la venta de bienes eclesigstico^.seculacizados , se ha sacado i subasta y señalado el 11 del corriente para el remate, de un</t>
  </si>
  <si>
    <t>Díaz Escanda, Francisco</t>
  </si>
  <si>
    <t>Francisco Díaz Escanda</t>
  </si>
  <si>
    <t>I275 derecho á los bienes del concurso de acreedores de D. Francisco Diaz Escanda, para que en el perentorio término de 6o dias contados desde el 4 de noviembre próximo pasado, acuda á formalizarlo con los documentos comprobantes; con prevención que de no hacer</t>
  </si>
  <si>
    <t>Díaz Flor, Francisco</t>
  </si>
  <si>
    <t>Francisco Díaz Flor</t>
  </si>
  <si>
    <t>ostura, acuda ante el expresado juez subdelegado, por la escribanía de la subdelegacion, que exerce D. Francisco Diaz Flor. Por providencia de D. Josef Joaquín de Sta. María , corregidor de Toleda, se saca á pública subasta la dehesa de pasto y labor intitulada de Pinedo, de caber 1022 fanegas de tier</t>
  </si>
  <si>
    <t>Díaz Flor, Francisco Antonio</t>
  </si>
  <si>
    <t>Francisco Antonio Díaz Flor</t>
  </si>
  <si>
    <t>0 tasación á metálico. Quien quisiere mejorarla acuda ante dicho subdelegado , por la escribanía de D. Francisco Antonio Díaz Flor; en la inteligencia que está señalado el dia 23 del presente para su remate. Por providencia de ,D. Tomas Perez de Jungultu, juez comisionado regio para la venta de bienes eclesiá</t>
  </si>
  <si>
    <t>Díaz Noriega, Juan Antonio</t>
  </si>
  <si>
    <t>Juan Antonio Díaz Noriega</t>
  </si>
  <si>
    <t>os desde 20de Diciembre último. Quien quisiere hacerla acuda ante dicho Señor, por la escribanía dé D. Juan Antonio Díaz Noriega. Por providencia de D. Tomas Odonojú, Comisionado Regio’ para la venta debienes de obras pias en el Obispado dé Santander,, se han mandado sacar á pública subasta, por término de</t>
  </si>
  <si>
    <t>a su nuevo remate está señalado el dia 18 del corriente, á las 12 de su mañana, en la escribanía de D. Juan Antonio Díaz Noriega. A voluntad de su dueñq y en virtud de real facultad cometida ál Sr. D." Torquato Antonio Collado, Teniente Corregidor de ésta villa, se ha mandada continuar la subasta del términ</t>
  </si>
  <si>
    <t>Díaz Ñoriega, Juan Antonio</t>
  </si>
  <si>
    <t>Juan Antonio Díaz Ñoriega</t>
  </si>
  <si>
    <t>días para la mejora del quarto. Quien quisiere hacerla acuda ante dicho Señor, por la escribanía de D. Juan Antonio Diaz Ñoriega. * Semanario dé ágrícultifrá y artes: tomo.XX de la colección, y iv de los publicados pb9!e¡ rtcai jardín botánico de Madrid. Contiene, entre otras cosas interesa»* tes, jas obser</t>
  </si>
  <si>
    <t>testamentaría y herederos. Quien quisiere hacer postura acuda ante dicho juez por lí. escribanía de D. Juan Antonio Díaz Noriega. No habiendo comparecido los acreedores á ios bienes concursados por D. Pedro Josef Adame, vecino que fue de esta corte, se ha solicitado por el defensor judicial del concurso, y</t>
  </si>
  <si>
    <t>Sr. D. Diego Gil Fernandez, del consejo de S. M., alcalde en su real casa y corte, y escribanía de D. Juan Antonio Diaz Noriega , se ha mandado publicar por 20 días mas una casa sita en esta corte en la calle de Amanuel, con fachada á la del Portillo, núm. 3, manz. 539, tasada en 111,212 rs.; é igualmente</t>
  </si>
  <si>
    <t>emates celebrados ante el Sr. D. Diego Gil Fernandez, alcalde de casa y corte, por la escribanía de D. Juan Antonio Díaz Noriega, á saber: 3 tierras en término del lugar de Valiecas, tasadas en 11,325 rs., remata</t>
  </si>
  <si>
    <t>, tasada en x 14,296 rs. Quien quisiere hacer postura acuda ante dicho señor, por la escribanía de D. Juan Antonio Diaz Noriega. Quien quisiere hacer postura á una casa sita en la calle angosta de Peligros, núm. 1, manz. 292, tasada en 125,390 rs., acuda ante el Sr. £&gt;. Mariano Alonso, alcalde de casa cort</t>
  </si>
  <si>
    <t>corriente en la audiencia del Sr. D. Diego óií Fernandez, alcalde de casa y corte, y escribanía de D. Juan Antonio Diaz Noriega. AVISOS. En el juzgado de la subdelegados general de bienes mostrencos, vacantes j ab'ntestatos se están siguiendo autos por el Sr. Fiscal de ella, y varios interesados, sobre den</t>
  </si>
  <si>
    <t>ubastando por la audiencia del Sr. D. Diego Gil Fernandez, alcalde de casa y corte, y escribanía de D. Juan Antonio Diaz Noriega, sita en la calle de Cantarranas, núm. 1 2 , manz. 228 , tasada en 114,296 rs., y dan por ella la* dos terceras partes de su tasación en moneda metálica de cordoncillo, con la con</t>
  </si>
  <si>
    <t>nandez, se ha señalado para su nuevo remate el dia n del corriente en la escribanía de provincia de D. Juan Antonio Díaz Noriega. Quien quisiere comprar tres majuelos existentes en el lugar de Vallecas, uno al sitio que llaman del Congosto, de cabida de 10 aranzadas de á 400 cepas, tasado en 16,862 rs.: otr</t>
  </si>
  <si>
    <t>la audiencia del Sr. E&gt;. Diego Gil Fernandez, alcalde de casa y corte, y escribanía de provincia de D. Juan Antonio Díaz Noriega, en 150© rs. á pagar, los 137© en vales reales, y los 13© restantes en moneda metálica. Quien quisiere hacer mejora á una casa sita en el lugar de Fuenlabrada en la calle real de</t>
  </si>
  <si>
    <t>la audiencia del Sr. D. Diego Gil Fernandez, alcalde de casa y corte, y escribanía de provincia de D. Juan Antonio Díaz Noriega, en las dos terceras partes de su tasación en moneda metálica de cordoncillo, con la calidad de entregar de pronto 50® rs., y el resto dentro de un año, abonando en el ínterin un</t>
  </si>
  <si>
    <t>n quisiere encargarse de dicha obra y hacer postura á ella, acudirá á ia escribanía de provincia de D. Juan Antonio Díaz Noriega, que lo es de dicha comisión, donde se instruirá de los referidos reparos y con* diciones del remate. Por providencia del alcalde mayor de Mena D. Manuel Delgado Perlines, juez co</t>
  </si>
  <si>
    <t>Díaz Palacios, Pedro</t>
  </si>
  <si>
    <t>Pedro Díaz Palacios</t>
  </si>
  <si>
    <t>Campo de Gibraltar, Diócesis de Cádiz, vacante por fallecimiento de D. Vicente Rodríguez Iglesias,á D. Pedro Díaz Palacios, con la obligación que tiene anexa de residencia personal. Et Rey se ha servido conferir la Temada Coronela del Regimiento de infantería de Valencia al Comandante del tercer batal</t>
  </si>
  <si>
    <t>Díaz Pedregal y Castro, Francisco</t>
  </si>
  <si>
    <t>Francisco Díaz Pedregal y Castro</t>
  </si>
  <si>
    <t>esto de estampas y estuche matemático,áD.Nicolás Blanco;y el3.0 de30o rs., compuesto de lo mismo, á D. Francisco Diaz Pedregal y Castro.-_El Director y Maestro del Dibuxo recomendaron el mérito de los otros alumnos aspirantes al 1.® 2.0 y 3:®; y la Sociedad.quiso distinguir á ios primeros con 100rs. á cada uno, y</t>
  </si>
  <si>
    <t>Díaz Quijada y Ovejero, Félix</t>
  </si>
  <si>
    <t>Félix Díaz Quijada y Ovejero</t>
  </si>
  <si>
    <t>ignado S. M. nombrar para la plaza de oidor de la audiencia de México, vacante por fallecimiento de D. Félix Diaz Quijada y Ovejero, á D. Melchor Josef de Foncerrada: para la de alcalde del crimen, que este dexa , á D. Juan Antonio de la Riva, oidor de la de Guadalaxara; y para esta resulta á D. Juan de Sousa</t>
  </si>
  <si>
    <t>Díaz, Antonio</t>
  </si>
  <si>
    <t>Antonio Díaz</t>
  </si>
  <si>
    <t>ariano Ubach, en Barcelona. D. Joaquín García Domenecn, en Vinaroz. D. Pedro Borgunio, en Alicante. D. Antonio Díaz, en Paniza, campo de Cariñena. D. Manuel Mancharas, en la Puebla de Montalvan. D. Matías Gregorio de Lomas, en Minglanilla. D. Joaquín Valero, en la Xara, partido de S. Clemente.</t>
  </si>
  <si>
    <t>Díaz, Domingo</t>
  </si>
  <si>
    <t>Domingo Díaz</t>
  </si>
  <si>
    <t>Arias^ Somoza y Rico. S. M. se ha servido conceder grado_.de ^Subteniente de miücias provinciales á D. Domingo Díaz, Sargento primero de milicias, y Conductor de artillería en las islas Canarias. Asimismo ha nombrado S. M. para la vara de Alcaldes mayor de'la villa' de Morella á D. Juan Víctor</t>
  </si>
  <si>
    <t>Díaz, Manuel</t>
  </si>
  <si>
    <t>Manuel Díaz</t>
  </si>
  <si>
    <t>: D. Félix Tornero de Aguila, maestro de primeras letras , comisionado por la ciudad de Cartagena ; D. Manuel Díaz, pensionado por la sociedad patriótica de Murcia; ei presbítero D. Josef Fontana, vice-director del real seminario de nobles de S. Pablo de la ciudad de Valencia , comisionado por</t>
  </si>
  <si>
    <t>Díaz, Vicente Nepomuceno</t>
  </si>
  <si>
    <t>Vicente Nepomuceno Díaz</t>
  </si>
  <si>
    <t>l sistema botánico de Linneo según les rincipios de Cavanilles___ En el día 5 disertó eL presbítero D. Vicente Nepomuceno Díaz sobre la vegetación de las plantas y sus humores^</t>
  </si>
  <si>
    <t>DiazjHa, Pedro Joaquín</t>
  </si>
  <si>
    <t>Pedro Joaquín DiazjHa</t>
  </si>
  <si>
    <t>xo ai de la Melgosa, por muerte de D. Salvador Saiz; la de la villa de Versea, por fallecimiento de D. Pedro Joaquín DiazjHa del lugar de Arcas, por muerte de Don Vicente Asensk&gt;; la de Arrancacepas, por fallecimiento de D. Francisco Chepa; y para el préstamo de Torredefrades, en él obispado de Zamora, vaca</t>
  </si>
  <si>
    <t>Didelot</t>
  </si>
  <si>
    <t>miento francés. DINAMARCA. Copenhague ij de mayo. Esperamos de un instante á otro en esta capital á Mr. Didelot, ministro plenipotenciario del Emperador de los franceses. El encargado de negocios de Suecia anhela mucho su venida: y aquí nadie duda de que se rea</t>
  </si>
  <si>
    <t>xeies de guerra, debía partir de Yarmouth el 24 de este mes. r Hace 3 dias que llegó á esta capital Mr. Didelot, nuevo enviado de Francia. Escriben de la isla de Sto. Tomas que no habia llovido en todo el mes de marzo, y\que era tal la falta de agua, que costaba un cubo de la de cisterna 40</t>
  </si>
  <si>
    <t>embroke&gt; enviado de Inglaterra á la corte de Viena* ha pasado el Sund, y ha entrado’ en el Báltico. Mr. Didelot* nuevo ministro de Francia en esta corte* tuvo ayer su, primera audiencia , en que presentó- á S. M- sus. credenciales. • ALEMANIA. Berlín j de junio*. La toma; deDantzick se ha c</t>
  </si>
  <si>
    <t>Didelotá</t>
  </si>
  <si>
    <t>. .... ......... ■' ' J ^ í'-át*-fe¿^-;'-'25''J■;-,í:*'■■■■' ■/' '*:■ .. i- ni Desde la llegada de Mr. Didelotá esta capital se cree generalmente qué nuestra corte será mediadora entre la Francia y* la Suecia; El Príncipe real parece que desea mucho que esta paz sc efectúecon su intervencion.</t>
  </si>
  <si>
    <t>Diego Benigno</t>
  </si>
  <si>
    <t>ante el Sr. D. León de Sagasta, teniente corregidor de esta villa, por la escribanía del número de D. Diego Benigno. • AVISOS. I - O . ’ ' ' El 5 de noviembre próximo pasado remitió D. Gregorio de Sa lazar, apoderado de D. Francisco de Valle y Hoyuelo, vecino de Madrid, á D. Manuel de Ánr guio,</t>
  </si>
  <si>
    <t>Diego Lorenzo</t>
  </si>
  <si>
    <t>en el regimiento de infantería de Asturias compañía al teniente de granaderos, graduado de capitán, D. Diego Lorenzo ;-tenencias á los subtenientes \de granaderos D. Juan Sobrado, Don Manuel Torregrosa y ÍL Juan Espinosa; y subtenencias al sargento primero D. Ignacio AyzE, y á-los cadetes D. Tom</t>
  </si>
  <si>
    <t>DiegoPerosa</t>
  </si>
  <si>
    <t>dier D. Vicente Bustamante; á brigadier al subrigadier Don Antonio Pascual; á subrigadier al cadete D. DiegoPerosa; á cadete de número al supernumerario D. Josef Moldes , y á supernumerario al'guardia D. Josef Gasqiie. • El rey se ha servido conferir compañía en el regimiento de infantería de</t>
  </si>
  <si>
    <t>Dieste, Juan</t>
  </si>
  <si>
    <t>Juan Dieste</t>
  </si>
  <si>
    <t>ez. El Rey se ha servido promover á subteniente de bandera en el regimiento fixo de Ceuta al cadete D. Juan Dieste: en el Suizo de Traxler á capitán segundo al teniente D. Ventura Kasly; á teniente al subteniente de granaderos D. U Ir ico Mayenfuch; á este empleo al de fusileros Don.</t>
  </si>
  <si>
    <t>Diez de Bonilla, Miguel</t>
  </si>
  <si>
    <t>Miguel Diez de Bonilla</t>
  </si>
  <si>
    <t>D. Josef Carrion,vecinos de la demarcación del regimiento;y á Subtenientes de bandera á los Cadetes D. Miguel Diez de Bonilla, D. Josef Francisco Delgado y D. Carlos Abala y Varela, y á D. Miguel Guillen y Yenza, vecino de la misma demarcación. Por la Secretaría de Estado y dei Despacho de la Guerra se h</t>
  </si>
  <si>
    <t>Diez Rodríguez, Tomás</t>
  </si>
  <si>
    <t>Tomás Diez Rodríguez</t>
  </si>
  <si>
    <t>las Carretas, á 80 rs. en rústica y 104 en pasta. El Reconocimiento, canción compuesta por el Lie. D. Tomas Diez Rodríguez, asesor del regimiento provincial de Ciudad-Rodrigo, con el motivo de haberse dignado admitir S. A. S. el Sr. Príncipe Generalísimo Almirante un oficio de regidor preeminente de a</t>
  </si>
  <si>
    <t>Diez y Duran, Mateo</t>
  </si>
  <si>
    <t>Mateo Diez y Duran</t>
  </si>
  <si>
    <t>ta forma: el corregidor Dr. Di Martin Xavier de Muzquiz ofreció uno ; el censor dé la real sociedad D. Mateo Diez y Duran, intendenta general dé está ciudad y provincia, otro; el tesorero D. Fermín Remon dos; D¿ Bernardo Esquivel, barón de Palíamelo, otro; D. Miguel Carrillo y Barnuevo otro; DiMatíál</t>
  </si>
  <si>
    <t>Diez, Domingo Miguel</t>
  </si>
  <si>
    <t>Domingo Miguel Diez</t>
  </si>
  <si>
    <t>a: para la mediaración déla catedral de Cartagena, vacante por. muerte-de D. Sebastian Caballero, á D. Domingo Miguel Diez: para la ración de Antequera, en la diócesi de Málaga, vacante por fallecimiento de D. Josef Uncibay, á Don Francisco Duran y Villatoro, capellán provisional de la real armada; y</t>
  </si>
  <si>
    <t>Diez, Gerónimo Antonio</t>
  </si>
  <si>
    <t>Gerónimo Antonio Diez</t>
  </si>
  <si>
    <t>hótegui y D. Francisco de Arjona, fiscales del mismo tribunal; para las fiscalías que estos dexan á D. Gerónimo Antonio Diez, regente de la cbancillería de Valladolid, y á D. Nicolás de Sierra, fiscal del crimen de la audiencia.de Sevilla; para la regencia de Valladolid, que resulta vacante» á D.Francis</t>
  </si>
  <si>
    <t>DIRECTOR IDE ESTA REAL SOCIEDAD</t>
  </si>
  <si>
    <t>yo testero se leía: al serenísimo señor PRINCIPE GENERALISIMO ALMIRANTE, PRIMER DIRECTOR IDE ESTA REAL SOCIEDAD. Después del refresco hubo iluminación general, serenata y fuegos artificiales. A las 9 principió el bayle, que se dio en dicha sala de los Lisiases á las seño</t>
  </si>
  <si>
    <t>Diví, Ramón</t>
  </si>
  <si>
    <t>Ramón Diví</t>
  </si>
  <si>
    <t>anqueado la liberalidad de nuestro ilustrísimo obispo, presidente de esta real junta de hospicio. A D. Ramón Diví se adjudicó el primer premio, de 300 rs. vn., por un diseño colorido primorosamente, alusivo al Estado, y al Serenísimo Señor Príncipe Generalísimo Almirante:. á D. Pablo Vilar se</t>
  </si>
  <si>
    <t>Dnpré</t>
  </si>
  <si>
    <t>!e anima á h Puerta. La Rusia no ha podido negociar una paz cep"rada con la Puerta y con la Persia. Mr. Dnpré, cónsul de Francia en Erzerum, escribe que el Sofí se ha negado á tratar. RUSIA. . Peters burgo 4 de abril. El 2i del me* pasado se comunicó una orlen imperial á los gobernadores</t>
  </si>
  <si>
    <t>do Aguirre y Bengoa, Juan Fernando</t>
  </si>
  <si>
    <t>Juan Fernando do Aguirre y Bengoa</t>
  </si>
  <si>
    <t>e mi supremo consejo de la Guerra, nombro al alcalde mas antiguo de la quadra de la misma audiencia D. Juan Fernando do Aguirre y Bengoa: para esta resulta al catedrático de</t>
  </si>
  <si>
    <t>Dolgorowky, Príncipe</t>
  </si>
  <si>
    <t>Príncipe Dolgorowky</t>
  </si>
  <si>
    <t>ayor denuedo. Se han señalado particularmente los Generales Ostermann Tolstoy, Barkley de Tolly, el Príncipe Dolgorowky, Baggouwot, Summow y Gondorff: en la caballería el General Kosin. El Coronel de Zegulin, con el regimiento de tártaros polacos de Kochowski, cargó el ala derecha del enemigo, y le</t>
  </si>
  <si>
    <t>Dolz del Castellar, Pedro</t>
  </si>
  <si>
    <t>Pedro Dolz del Castellar</t>
  </si>
  <si>
    <t>nte, y por principios sólidos y demostrables en que se apoya. VENTAS JUDICIALES. Por providencia de D. Pedro Dolz del Castellar, subdelegado para la venta de bienes eclesiásticos en la diócesi de Zaragoza, se ha mandado sacar á pública subasta una masada sita en los términos del lugar de Cedrillas, partida</t>
  </si>
  <si>
    <t>Dolz, Miguel</t>
  </si>
  <si>
    <t>Miguel Dolz</t>
  </si>
  <si>
    <t>e halla establecida en la calle del Caballero de Gracia, número 9, quarto 2.0, baxo la dirección de D, Miguel Dolz, profesor de matemáticas, se dará principio á las lecciones de aritmética práctica, cambios, reducción de monedas, arte de partida doble, é investigaciones comerciales, el dia 2 d</t>
  </si>
  <si>
    <t>Dolzel, Joaquín</t>
  </si>
  <si>
    <t>Joaquín Dolzel</t>
  </si>
  <si>
    <t>Antonio Quadros,el segundo D. Josef Morales: en la de escritura D. Marcelino Junquera el primero , D. Joaquín Dolzel segundo: en igual escuela de primeras letras, del cargo de D. Celestino Mendoza, el primer premio en la clase de lectura D. Vicente Llanes, el segundo D. Cárlos Cruz Mayor: en la</t>
  </si>
  <si>
    <t>Dom, General</t>
  </si>
  <si>
    <t>General Dom</t>
  </si>
  <si>
    <t>e para Varsovia, y hoy ha salido lá infantería. El 3 del corriente se publicó un bando de orden del General Dom- * browski, dirigido al cuerpo de la Nobleza; adjunto va un reglamento para la formación dé los Regimientos de caballería que tienen que levantar: En-1 tre otras disposiciones se l</t>
  </si>
  <si>
    <t>Dómbrowski, General</t>
  </si>
  <si>
    <t>General Dómbrowski</t>
  </si>
  <si>
    <t>ho un tratado particular e» Posen el 15 de Diciembre., .: b i A principios del mismo mes dirigid el General Dómbrowski unJ bando al clero Polaco, cuyo extracto dice así: ,,Nunca os-ha hablado la patria cda tanta energía como ahora. Después de tan largo silenció, hablad en'fin á todos en el le.ngua</t>
  </si>
  <si>
    <t>Domeco de Jarauta, Juan Manuel</t>
  </si>
  <si>
    <t>Juan Manuel Domeco de Jarauta</t>
  </si>
  <si>
    <t>para maderas de construcción que se dan mejor en los terrenos, según sus calidades y exposicicnes: Don Juan Manuel Domeco de Jarauta sobre las huertas , demostrando la facilidad de establecerlas aun en los terrenos mas ingratos, ccn tal que no carezcan de agua de pie abundante, pasando, á describir sistemáticam</t>
  </si>
  <si>
    <t>Domingo Lorenzo</t>
  </si>
  <si>
    <t>ió de los pobres enfermos de dichos hospitales. Con fecha dé 16’dé Diciembre próximo pasado remitió D. Domingo Lorenzo^ de Perea, cura del lugar de Lezama ,, en la provincia de Alava, á nombre dé Don: Antonio de Yarritu* vecino y del comercio de Madrid, £ vales reales de la crea</t>
  </si>
  <si>
    <t>Domínguez Ruiz, Pedro</t>
  </si>
  <si>
    <t>Pedro Domínguez Ruiz</t>
  </si>
  <si>
    <t>n beneficio'de la parroquial de Santiago de Zaragoza, vacante por muerte de D. Francisco-Sartolo: á D. Pedro Domínguez Ruiz, cura de la"villa de Ólmedilla del,Campo, diócesi de Cuenca , para una canongía-de la catedral de Al barrad n, vacante por promoción de Don Pedro Antonio Fernandez á; la dignidad</t>
  </si>
  <si>
    <t>Domínguez, Juan Fernando</t>
  </si>
  <si>
    <t>Juan Fernando Domínguez</t>
  </si>
  <si>
    <t>itidme también vosotros, D.JosefMaría Zelaa é Hidalgo, lustre de Querétaro, por vuestra literatura; D. Juan Fernando Domínguez, por vuestro zelo, y demas individuos que habéis contribuido al noble pensamiento del señor coronel, que os dé las gracias á nombre de toda esta ciudad. ,,Y tú, apreciable juventu</t>
  </si>
  <si>
    <t>Doormann</t>
  </si>
  <si>
    <t>azeta de Francia, del %i y 23 de Diciembre.) ALEMANIA. ' Hamburgo 3 d&amp; Diciembre. Se confirma que á Mr. Doormann, Diputado del Senado en Berlín, !e han hecho las promesás mas terminantes de que este Estado recobrará á la paz su antigua independencia. : Aseguran que las tres ciudades Anseátic</t>
  </si>
  <si>
    <t>Dorda, Juan</t>
  </si>
  <si>
    <t>Juan Dorda</t>
  </si>
  <si>
    <t>, dentro del término de 30 dias contados desde 18 del corriente. AVISOS. El 6 del corriente remitió D. Juan Dorda, de! comercio de Valencia , g vales de 60o pesos, creación i.°de enero, endosados á los señores D. Valentín Riera y compañía, núms. 37^914, 366,964 y 366280. Quien supiere su para</t>
  </si>
  <si>
    <t>Dorotea Pastor</t>
  </si>
  <si>
    <t>842; y un libramiento ó recibo de intereses de un vale de 150 pesos, de setiembre, dado á nombre de Doña Dorotea Pastor, con el registro 51 y número 2504, los quales se han extraviado. Quien supiere de su paradero, se servirá avisar á qualqulera de los dos interesados</t>
  </si>
  <si>
    <t>Dotteville</t>
  </si>
  <si>
    <t>uis Rousseau, obispo de Coutances, promovido al obispado de Orleans. Ha muerto, de edad de 92 años, Mr. Dotteville, padre que fue de la congregación del Oratorio. Hace mas de 68 años que publicó su excelente traducción de Salu.tio: después dio á luz la de Tácito, y últimamente estaba trabajand</t>
  </si>
  <si>
    <t>Doy, Capitán</t>
  </si>
  <si>
    <t>Capitán Doy</t>
  </si>
  <si>
    <t>e sus buqués habían tenido averías considerables. Una embarcación de Nueva-Yorck, llamada la Betsy, Capitán Doy le, cargada de azúcar, café, tabaco ¿kc., se ha perdido junto á Plymouth. El viento era tan fuerte, y tanta la-'marejada, que se hizo mil pedazos el buque, sin que quedase rastro</t>
  </si>
  <si>
    <t>Dqña Gabriela López</t>
  </si>
  <si>
    <t>de! DcsaJ, vecino do la misma villa. Se desea saber si hay algunos parientes de Dqña Gabriela López, natural que fue de esta corte, hija de D. Andrés López Villatobas, natural este del lugar de los Hinojos, en la Mancha, y de Doña Angela Fernandez de Córdoba, que lo fue también de esta c</t>
  </si>
  <si>
    <t>Dufóo, Francisco</t>
  </si>
  <si>
    <t>Francisco Dufóo</t>
  </si>
  <si>
    <t>nencia de bandera al cadete D* Josef María Martínez* En consideración al mérito y circunstancias de D. Francisco Dufóo, contador de la real compañía de Filipinas , ha venido el Re? en concederte tos honores de La Junta general de comercio y moneda*. En cumplimiento de lo mandado por S. M. en real</t>
  </si>
  <si>
    <t>Duigenan</t>
  </si>
  <si>
    <t>ra la propuesta fue el general Crawfurd, á quien siguieron MM. Valton, Osborne, Jeffrey, Fnller, el Dr. Duigenan, Mr. Perceral, canciller del Echiquier, y el secretario de Estado Canning, quien concluyó su discurso diciendo, que ,,qualquiera que fuese U resultado de la discusión, los ministr</t>
  </si>
  <si>
    <t>Dulauloi, General</t>
  </si>
  <si>
    <t>General Dulauloi</t>
  </si>
  <si>
    <t>del Bug. El quartel general de una de sus divisiones se hallaba el io en Pultusk sobre el Narew. El General Dulauloi se halla nombrado Gobernador de Thorn. _Se avanza el 8.° cuerpo de exército grande que manda el Mariscal Mortier: su derecha se encuentra en Stettin: su izquierda en Rostoek, y su</t>
  </si>
  <si>
    <t>Dumas, Pedro Ignacio</t>
  </si>
  <si>
    <t>Pedro Ignacio Dumas</t>
  </si>
  <si>
    <t>extendiéndose á la buena vida y costumbres, los quales remitirán por todo el mes de junio próximo á D. Pedro Ignacio Dumas, secretario del ayuntamiento. LIBROS. Prontuario permanente de sueldos, para cxccutar toda clase de ajustes de oS</t>
  </si>
  <si>
    <t>Dumolard</t>
  </si>
  <si>
    <t>seguro de las viruelas. En la sesión del cuerpo legislativo del dia 26 se.v nombró, á propuesta de Mr. Dumolard, una comisión compuesta de 15 miembros para ir á felicitar á S. M. el Rey de Westfalia. ESPAÑA. Madrid 1$ de setiembre. S. M. se ha servido nombrar para la dignidad de arcediano y</t>
  </si>
  <si>
    <t>Duncan</t>
  </si>
  <si>
    <t>Hace algún tiempo que todo, el pais está gobernado por el mayor Waiker, y por mas que haga ni diga Mr. Duncan, él mismo está gobernado también por el mayor. Mr. Jorge Corsellis d Mr. Juan Bawstree. Cambaya 6 de agosto de 1806. Se dice que nue tro actual gobernador Mr. Duncan va á salir pa</t>
  </si>
  <si>
    <t>Dundas</t>
  </si>
  <si>
    <t>necesario proveer lo conveniente para que ia compañía pudiese hacer frente £ sus gastos. Respondió Mr. Dundas que su intención era presentar quanto antes las cuentas; pero que habiendo de acompañar las ael año anterior, que están por dar todavía, esto ocasionaría alguna tardanza, y que re</t>
  </si>
  <si>
    <t>echada la propuesta por una mayoría de 322 votos contra 136. Sesión del s&gt; de julio. A propuesta de Mr. Dundas pidió la cámara el estado ordinario de las rentas, gastos y empleos de la compañía de las Indias en los años de 1802, 803 y 804, y el prudencial en 1805. Sir Arthuro Wellesley sol</t>
  </si>
  <si>
    <t>Dupont, General</t>
  </si>
  <si>
    <t>General Dupont</t>
  </si>
  <si>
    <t>e. El fuego de fusilería fué muy vivo , bien sostenido, y á muy corta distancia. Al mismo tiempo el General Dupont desfilaba por el camino de Holland con los regimientos 32.° y 96.°, y rodeaba la, derecha del enemigo. Un batallón del 32.® cargó a los rusos con la intrépjdéz que' acostumbra, los d</t>
  </si>
  <si>
    <t>Dupont, Pedro</t>
  </si>
  <si>
    <t>Pedro Dupont</t>
  </si>
  <si>
    <t>dete D. Antonio Nícolau: en el de Zaragoza subtenencia de bandera al sargento primero de granaderos D. Pedro Dupont; y en el batallón de voluntarios de Tarragona ei empleo de capitán segundo al teniente D. Josef Guerrero.</t>
  </si>
  <si>
    <t>Duque de Estrada, Vicente</t>
  </si>
  <si>
    <t>Vicente Duque de Estrada</t>
  </si>
  <si>
    <t>iligencias prevenidas en órdenes circulares r y previa la aprobación del señor ministro del consejo D. Vicente Duque de Estrada, comisionado para la construcción de cementerios en este obispado, se verifico dicho religioso establecimiento en esta ciudad, y se procedió á su bendición el dia 16 del presente</t>
  </si>
  <si>
    <t>Duran y Villatoro, Francisco</t>
  </si>
  <si>
    <t>Francisco Duran y Villatoro</t>
  </si>
  <si>
    <t>a la ración de Antequera, en la diócesi de Málaga, vacante por fallecimiento de D. Josef Uncibay, á Don Francisco Duran y Villatoro, capellán provisional de la real armada; y para los beneficios simples de las parroquias de Villaesctisa de Hako y Castejon, en la diócesi de Cuenca, vacantes por muerte de D. Ped</t>
  </si>
  <si>
    <t>Duran, Francisco Xavier</t>
  </si>
  <si>
    <t>Francisco Xavier Duran</t>
  </si>
  <si>
    <t>lado, enterrándose en él los cadáveres sin distinción alguna, de que se ha dado aviso al citado Sr. D. Francisco Xavier Duran por el corregidor de aquella villa----- En Sierra- Morena, Andalucía y Concepción de Almoradiel se ha executado lo mismo, acreditando en este punto el intendente de la Carolina, á</t>
  </si>
  <si>
    <t>Duran, Sebastián</t>
  </si>
  <si>
    <t>Sebastián Duran</t>
  </si>
  <si>
    <t>se ha servido conceder subtenencias de bandera en el regimiento de infantería inmemorial del Rey á D. Sebastian Duran, cadete de la compañía de caballería de Ceuta; y en el de Ñapóles al sargento primero de granaderos del mismo cuerpo D. Cristóbal Chispera. En el real cuerpo de Artillería ha teni</t>
  </si>
  <si>
    <t>Durango, Francisco</t>
  </si>
  <si>
    <t>Francisco Durango</t>
  </si>
  <si>
    <t>arri y Posadillo. En Valencia.......... Sres. D. Francisco Peyrolon y compañía. En Valladolid...... D. Francisco Durango é hijo mayor. En Zamora........... D. Josef Ligero. En Zaragoza........ D. Tomas de la Madrid. En Zeuta............... D. Pedro Huguet, comisionado subalterno del de Cádiz. Para d</t>
  </si>
  <si>
    <t>D. Josef de Ligero. En Valencia......... Sres. D. Francisco Peyrolon y compañía. En Valladolid..... D. Francisco Durango. En Zamora...... . D. Rafael Suarez. En Zaragoza....... D. Tomas de la Madrid. En Zenta.............. D. Pedro Huguet, comisionado subalterno del de Cádiz. VENTA JUDICIAL. Quien q</t>
  </si>
  <si>
    <t>Dureau de la Malle</t>
  </si>
  <si>
    <t>maniobra que se necesita para hacer subir ó baxar el barco mas grande.’* El 17 de este mes falleció Mr. Dureau de la Malle, de la academia francesa , autor de la mejor traducción qoe^tenemos dé las obras de Tácito. ESPAÑA. Colmenar viejo jo de agosto. En el dia 11 del presente mes se execütó en esta y</t>
  </si>
  <si>
    <t>Duvegrier</t>
  </si>
  <si>
    <t>ara el marques de ALbuci, en Venecia. Repetición de la’misma con aigunarvariacion, de mármol , para Mr. Duvegrier, en Parts* Hércules y Licas, grupo colosal de mármol, para el duque de Miranda, en Ñapóles. Hércules matando sus propios hijos: Crengas y Damóxenos , dos púgiles de mármol, de tam</t>
  </si>
  <si>
    <t>Duveyrier, Coronel</t>
  </si>
  <si>
    <t>Coronel Duveyrier</t>
  </si>
  <si>
    <t>había tiempo para fortificarse al abrigo del bastión de Ohlau para sostener el malogrado ataque. El Coronel Duveyrier y el Capí un Ramón?*, que debían pasar los primeros á la cabeza de las tropas, habiéndolo consultado con el Coronel de ingenieros, determinaron se renunciase al ataque que todavía no</t>
  </si>
  <si>
    <t>Dúveyrier, Coronel</t>
  </si>
  <si>
    <t>Coronel Dúveyrier</t>
  </si>
  <si>
    <t>as horas, ia^ formado, raedor por sus espías,-pidia ua armisticio Qé 2.4 horas , y que 5a" sase c;l Coronel Dúveyrier á tratar de la capitulación, como se le,'había ofrecido. • \ ; • : r&gt;; .J Todavía no estaba Dúveyrier en la plaza quanda el Gobernador, baxó el frívolo pretexto de’ que se continu</t>
  </si>
  <si>
    <t>e de: Pless fué de 4 ár 5® hombres, á causa de la désércion. Retiróse á Schweidnitz, donde entró el Coronel Duveyrier á pedir la restitución de ciertas escoltas ó salvaguardias que se hablan fíévado y^ maltratado sus tropas.-. Durante toda esta iáattiobra nb había cesado el fuego contra *lá plaza</t>
  </si>
  <si>
    <t>Duvreüill, Antonio</t>
  </si>
  <si>
    <t>Antonio Duvreüill</t>
  </si>
  <si>
    <t>..y Muro, D. Matías Cervera y D. Francisco Morejon ;a Subtenientes de granaderos á les de fusileros D. Antonio Duvreüill, D. Francisco Cañedo y D. Juan Bernardo Domínguez ; á Subtenientes de compañía á los de bandera D. Pedro Ker«ion, D. Diego Barredo, D. Henrique deGrand-pré y D. Alexo Lessacier; y</t>
  </si>
  <si>
    <t>Dv León de Sagasta</t>
  </si>
  <si>
    <t>á 700 cxemplares intitulados Refranes castellanos, acuda á la audiencia del Sr. Dv León de Sagasta, teniente corregidor de esta viila, por la escribanía de D. Miguel Gonzalo. ■ ' ; AVISOS. Qúíén quisiere hacer postura á los frutos y rentas de la encomienda de Viilaexcusa de Haro, orden d</t>
  </si>
  <si>
    <t>Eantin, Juan Bautista</t>
  </si>
  <si>
    <t>Juan Bautista Eantin</t>
  </si>
  <si>
    <t>io D. Josef Miranda herido eti una mano, y el Alférez del Exército del Imperio Francés* mi Edecán , D. Juan Bautista Eantin , una pierna rota*. El fuerte tenia 35 cañones montados y 4 morteros: los fusiles que nos han entregado son mas de 1600. Fué falso que hubiesen extraído las armas nuestras que hab</t>
  </si>
  <si>
    <t>Ebneter, Juan</t>
  </si>
  <si>
    <t>Juan Ebneter</t>
  </si>
  <si>
    <t>se ha servido promover á capitán de granaderos en el regimiento suizo de Traxier al capitán segundo D. Juan Ebneter,y á teniente de granaderos al de fusileros D. Luis Kasly: en el de Reding, núm. 2.0, á teniente de granaderos al de fusileros D. Agustín Stoffei, y á teniente al subteniente de gr</t>
  </si>
  <si>
    <t>Echavarri, Maria</t>
  </si>
  <si>
    <t>Maria Echavarri</t>
  </si>
  <si>
    <t>Seoane por lo mucho que ha adelantado, y haber sido premiada en el año pasado con el i.°___En la de Doña Maria Echavarri el i.° por leer y doctrina á Teresa del Campo y Gabriela S. Josef,y por la costura á Eduvigis Hernández; dándose el accessit correspondiente á Tomasa Gago, de edad de 4 años y medio</t>
  </si>
  <si>
    <t>Eckhard</t>
  </si>
  <si>
    <t>nación boreal. El dia 5 su ascensión recta era de 226“ 3c/, y su declin?ciors boreal de 6o 40'----- Mr. Eckhard, astro nomo de Darmstadt, observó este cometa el i.° del corriente. De Sturgard escriben que también se le ha</t>
  </si>
  <si>
    <t>Edmundo O-Rían</t>
  </si>
  <si>
    <t>su antigüedad; y nombrar para la última plaza-que 'resulta vacante, con el sueldo de su dotación, á D. Edmundo O-Rían, comisario de guerra de los reales exércitos. S. M., á consulta del real y supremo consejo de castilla, se ha servido conceder facultad á la villa de OeVíco de la Torre, en lá pro</t>
  </si>
  <si>
    <t>Eduardo Pellew</t>
  </si>
  <si>
    <t>as que había traído una embarcación procedente de Madras, hablan de otra nueva expedición hecha por Sir Eduardo Pellew contra Batavia, dentro de cuyo puerto quemó el 27 de noviembre 18 embarcaciones holandesas, entre ellas varias de guerra, á pesar del fuego de las baterías. Poco antes la fragata</t>
  </si>
  <si>
    <t>Edward Gram</t>
  </si>
  <si>
    <t>to. Mr. Alexandro Fraser, comandante de la fragata inglesa Vanguarda ha escrito al cónsul de Suecia Mr. Edward Gram una carta concebida en estos términos: „He recibido la carta de V. del 2 de noviembre,y hecho cargo de sn contenido no puedo menos de decirle, que las instrucciones que tengo de m</t>
  </si>
  <si>
    <t>Eermu, Marcos</t>
  </si>
  <si>
    <t>Marcos Eermu</t>
  </si>
  <si>
    <t>va tenencia al alférez Don Pedro Yaniz. i ; v j':En consideración á los méritos y circunstancias de D. Marcos Eermu-* dez, administrador de rentas generales y reunidas de Alicante, se ha servido el Rey concederle h*&gt;s honores de contador de exército. Condescendiendo S. M. con la. solicitud de D.</t>
  </si>
  <si>
    <t>Eernanio Plaza</t>
  </si>
  <si>
    <t>o Lopéz, que llevó este mismo premio el año anterior: el segundo y tercero de la propia cantidad, á D, Eernanio Plaza y D. Jpsef -Alaría Curto; y los tres-segundos-de 3 5 pesos a D.' Andrés Díaz Cadórníga, D. Fernando González y D. Manuel, González Peraiveles. ■Continuación sobre el solimán, mercurio</t>
  </si>
  <si>
    <t>Egaia, Pedro Antonio</t>
  </si>
  <si>
    <t>Pedro Antonio Egaia</t>
  </si>
  <si>
    <t>ra de la colegial de Baza , diócesis de Guadix, vacante por muerte de D. Antonio Facundo Quevedo, á D. Pedro Antonio Egaia : para el Beneficio simple servidero de la villa de RaVanera, en la diócesis de Osma, vacante por promoción de D. Antonio Araoz y Arredondo á una Canongia de la catedral de Guadix</t>
  </si>
  <si>
    <t>Eguia, Félix</t>
  </si>
  <si>
    <t>Félix Eguia</t>
  </si>
  <si>
    <t>ad de Pentecostés ó venida del Espíritu santo y su octava, según- el breviario y misal romano : por D. Félix Eguia, presbítero. Es muy conveniente la traducción de esta octava por los misterios que comprehende pues vemos el establecinhientó de la Iglesia en el cenáculo, donde se hallaban congr</t>
  </si>
  <si>
    <t>Eiroa, Ramón</t>
  </si>
  <si>
    <t>Ramón Eiroa</t>
  </si>
  <si>
    <t>Fueron examinados en aritmética D. Manuel Royo, D. Josef Mes, D. Bernardo Becerra, D.Josef Carrero, D. Ramón Eiroa, D. Ramón Suazo, D. Antonio Valentín Díaz, D. Josef Hordavidalnz, D. Lorenzo Cedrón, D. JuanPefundely D. Manuel Elizaicin. En geometría especulativa D. Josef Genaro Ghapley D;* Il</t>
  </si>
  <si>
    <t>El General Zastrow</t>
  </si>
  <si>
    <t>nválidos. El ministerio del Rey de Prusia se compone de las personas siguiente» El General Zastrow, Ministro de Estado. El General Ruchel, enfermo todavía de la herida que recibió en la batalla de Jena, Ministro de la Guerra. El Presidente Sagebarthe, Ministro de lo Interior. Las fuerzas</t>
  </si>
  <si>
    <t>El Presidente Sagebarthe</t>
  </si>
  <si>
    <t>todavía de la herida que recibió en la batalla de Jena, Ministro de la Guerra. El Presidente Sagebarthe, Ministro de lo Interior. Las fuerzas actuales de la monarquía prusiana son estas: Al Rey le acompañan 15 00 hombres entre infantería y caballería. __EÍ General Lestocq tiene unos 5® hombre</t>
  </si>
  <si>
    <t>Eladio Alonso Valdenebro</t>
  </si>
  <si>
    <t>ña Gabriel Josef Martínez. Por el subdelegado de la comisión regia de la ciudad y obispado de Avila Don Eladio Alonso Valdenebro se subastan las fincas siguientes : una casa de habitación, un lagar y pajar, 59^ obradas de. tierras labrantías y huerta, 18 aranzadas y 3 quartas de viña, en 61 pedazos, las mas</t>
  </si>
  <si>
    <t>Por el juez subdelegado real para la venta de bienes eclesiásticas de la ciudad y obispado de Avila D. Eladio Alonso Valdenebro se han mandado sacar á pública subasta 19 heredades de prados y linares, que hacen H4§ obradas, consistentes en los términos de las villas de las Navas del Marques y Navaiperal, a</t>
  </si>
  <si>
    <t>Eleuterio Conejero</t>
  </si>
  <si>
    <t>93'" J 1· Bleuterio Conejero.. de hidro...... Valencia ...................... 1796 .. Extrav. C.b.2.- Francilico Martinez .. de D. Ran1on. Santiago de Galicia ....... 179 .... Muert.</t>
  </si>
  <si>
    <t>Elias Caff</t>
  </si>
  <si>
    <t>es comerciantes griegos que estaban allí, según decía. Se entró en la habitación del agente francés Mr. Elias Caff, y se puso á registrar como un furioso por debaxo de las camas, y entre los colchones. La muger é hijas de M Caff saltaron por la azotea á una casa contigua, con inminente riesgo</t>
  </si>
  <si>
    <t>Elío, Xavier</t>
  </si>
  <si>
    <t>Xavier Elío</t>
  </si>
  <si>
    <t>1223 tados; ni tampoco á los coroneles D¿ Bernardo de Velasco, gobernador ¿el Paraguay y Misiones, D. Xavier Elío, comandante de la campaña de Montevideo, y al capitán de navio D. Juan Gutiérrez de la Concha , intendente de Córdoba, quienes con sus luces y conocimientos militares han contribu</t>
  </si>
  <si>
    <t>Elisabeth, Princesa</t>
  </si>
  <si>
    <t>Princesa Elisabeth</t>
  </si>
  <si>
    <t>el Degistan y las orillas del rio Kur están en poder de la Rusia. El 30 del pasado se bautizó á la Princesa Elisabeth; y después se publicó una declaración del Emperador, en que manda cpe se dé á dicha Princesa, su hija, el tratamiento de Alteza imperial en todos los .instrumentos públicos. En un</t>
  </si>
  <si>
    <t>Elízaga, Juan Pedro</t>
  </si>
  <si>
    <t>Juan Pedro Elízaga</t>
  </si>
  <si>
    <t>ar á todas y qualesquiera personas que presuman tener derecho á los bienes del concurso del difunto D, Juan Pedro Elízaga, para que acudan en el único y perentorio término de un año á deducirlo ante el expresado tribunal; y pasado-dicho término les parará el perjuicio que haya lugar. En la villa de S</t>
  </si>
  <si>
    <t>Elizalde, Bernardo</t>
  </si>
  <si>
    <t>Bernardo Elizalde</t>
  </si>
  <si>
    <t>........... D. Andrés Frayle. En Cádiz............... D. Benito de la Piedra. • En Cartagena....... D. Bernardo Elizalde. En Ciudad-Real.. D. Ramón Antonio Pico. En Córdoba........... Sres. Barcia padre é hijo. En la Coruña....... D. Manuel Elzaurdi. En Cuenca......... . Sres. viuda de Escolar y Nor</t>
  </si>
  <si>
    <t>gos........... D. Andrés Frayle. En Cádiz.............. D. Benito de la Piedra. En Cartagena....... D. Bernardo Elizalde. En Ciudad-Real.. D. Ramón Antonio Pico. En Córdoba,.,...,... Sres. Barcia padre é hijo. En la Coruiia....... D. Manuel Elzaurdi. En Cuenca......... ..i Sres. viuda de Escolar, No</t>
  </si>
  <si>
    <t>Ello, Xavier</t>
  </si>
  <si>
    <t>Xavier Ello</t>
  </si>
  <si>
    <t>udante el teniente de navio D. Baltasar Unquera desde el convento de Sto. Domingo, y el del coronel D. Xavier Ello, el capitán de artillería urbana D. Josef de Pasos gravemente herido. Mi recomendable edecán D. Manuel de Arce, que hacia á mi lado sus primeras armas, y sé habia mostrado con ef</t>
  </si>
  <si>
    <t>Elzaurdi, Manuel</t>
  </si>
  <si>
    <t>Manuel Elzaurdi</t>
  </si>
  <si>
    <t>-Real.. D. Ramón Antonio Pico. En Córdoba........... Sres. Barcia padre é hijo. En la Coruña....... D. Manuel Elzaurdi. En Cuenca......... . Sres. viuda de Escolar y Noriega é hijo. En Granada........ D. Francisco de Unzaga. • En Guadalaxara. D. Isidoro García Plaza. En Jaén............... D. Pedr</t>
  </si>
  <si>
    <t>-Real.. D. Ramón Antonio Pico. En Córdoba,.,...,... Sres. Barcia padre é hijo. En la Coruiia....... D. Manuel Elzaurdi. En Cuenca......... ..i Sres. viuda de Escolar, Noriéga é hijo. En Granada........ D, Francisco Unzaga. ' ■ .... En Gnadalaxara. D. Isidoro García Haza. ~En Jaén................ D</t>
  </si>
  <si>
    <t>embajador Arbuthant</t>
  </si>
  <si>
    <t>pío go&gt;. El gabinete de S. James desaprueba la conducta de su embajador Arbuthant y la del almirante Duckworth , y anuncia que envía por embaxá- dor á Mr. Paget. Luego que se abrieron dichos pliegos se juntó el divan en casa del rnufti, y se ha deter</t>
  </si>
  <si>
    <t>embaxador Arbuthnot</t>
  </si>
  <si>
    <t>pues el viento no me permitió acercarme mas. El Endimion, que á instancias del embaxador Arbuthnot envié delante con bandera parlamentaria, pudo anclar 4 millas mas cerca: si la rapidez de las corrientes no nos lo hubiera impedido, inmediatamnte nos habríamos</t>
  </si>
  <si>
    <t>Embaxador Persa</t>
  </si>
  <si>
    <t>QUIA. r'Constantinopla 1$ de Noviembre de Antes de ayer llegó á esta capital un Embaxador Persa, que va i París con encargos de lamayor importancia ¿lé parte dersíi5 'Soberano. Núes-: tro Imperio respira ya de ias pasadasturboienciasdesdetque los Serírios</t>
  </si>
  <si>
    <t>Emerico Gervasio</t>
  </si>
  <si>
    <t>do se executó en la plaza del mercado la sentencia de muerte pronunciada contra Emerico Gervasio, presbítero, y los 5 hermanos Abatemarco. A principios de diciembre de 1799 una embarcación toscana, procedente de Alexandría de Egipto, se vio obligada por el mal tiempo á dar fondo en Cotro</t>
  </si>
  <si>
    <t>Emmet</t>
  </si>
  <si>
    <t>crucen en el rio de la Plata por espacio de ó meses. . Las cartas de la Nueva-Escocia refieren que Mr. Emmet, irlandés, refugiado en los Estados-Unidos, trata de juntar hasta 9® hombres compatriotas suyos que se hallan en aquel pais, é invadir con ellos el Canadá en el caso de que se ver</t>
  </si>
  <si>
    <t>Enguídanos, Tomás</t>
  </si>
  <si>
    <t>Tomás Enguídanos</t>
  </si>
  <si>
    <t>GRABADO. Retrato del célebre ministro ingles Guillermo Pitt, pintado por John Jones, y grabado por D. Tomas Enguídanos. Se hallará en la librería de Carsi, calle de la Paz. MUSICA* D. Blas Laserna, compositor de música de los teatros de esta corte, ha establecido un almacén en la calle del Príncip</t>
  </si>
  <si>
    <t>Ensebio de Villa</t>
  </si>
  <si>
    <t>o conferir en el regimiento de infantería de la Princesa compañía al ayudante, graduado de capitán, D. Ensebio de Villa: ayudantía al teniente de granaderos &gt; graduado también de capitán, Don Benito Panigo* tenencias á los subtenientes D. Josef de Pardo y Cela y D. Joaquín Signes, y al capitán de m</t>
  </si>
  <si>
    <t>Entreambasaguas, Manuel</t>
  </si>
  <si>
    <t>Manuel Entreambasaguas</t>
  </si>
  <si>
    <t>guardias Walonas D. Félix Gilman, D. Pablo Ferrando, cadete del regimiento de infantería de Soria, D. Manuel Entreambasaguas, D. Pedro Sánchez Pavón, D. Joaquín Gaidiano', D. Josef'María Jussué, D. Josef Baquedano, D. Ramón Posada, D. Josef Bretón , Don Eugenio de Zuloaga, D. Vicente Bassoco y D. Manuel</t>
  </si>
  <si>
    <t>or D. Manuel Fernandez, gefe de sala D. Manuel de la Cámara, y seminarista D. Juan Ortiz de Zarate, D. Manuel Entreambasaguas, de la misma clase; gtfes de trozo D. J6*5ef Alaría Esquivel, teniente del regimiento de milicias provinciales de Soria, D. Josef Fernandez y D. Sebastian Fernandez de Navarrete,</t>
  </si>
  <si>
    <t>Epifanio Mancha</t>
  </si>
  <si>
    <t>ndarte al sargento i.° D. Luis Morales: en el del Infante empleos de alférez i los portaestandartes D. Epifanio Mancha y D.Juan Destandau: en el de Calatrava ayudantía al Teniente D. Miguel Hernández; yen el dé Montesa empleo de portaestandarte al sargento i.° D. Agustín Alonso. i En la extracción de</t>
  </si>
  <si>
    <t>Ernottf, General</t>
  </si>
  <si>
    <t>General Ernottf</t>
  </si>
  <si>
    <t>0 cañones; el Determinado, de 18; el Vengador, de 14; la joven Gabriela, de 16; la Adela, de 18; el General Ernottf, de 14; la Confianza, de 14; el Trepon, la Estrella, el Jrrobo &amp;c., de 6 á 10 cañones: los corsarios mas pequeños no tienen ménos de 60 hombres oe ni— pulacion, y los mayores de 1</t>
  </si>
  <si>
    <t>Erskine</t>
  </si>
  <si>
    <t>les, que trae noticias de Ldndres hasta el 14 del corriente. Las mas interesantes son la llegada de Mr. Erskine á América» en calidad de Enviado extraordinario de la Gran Bretaña, quien fue recibido por el Presidente de los Estados-Unidos con las demostraciones mas amistosas..__ El Gobierno</t>
  </si>
  <si>
    <t>on cuidado la falta de noticias de la corbeta Avon t que conducía á ios Estados-Unidos de América-¿ Mr. Erskine, nuestro Ministra plenipotenciario, y salió de, Portsiuouth el .28 de agosto. Al cabo .se ha sabido que el 20 de noviembre llegó á Auápolis., (donde desembarcó á Mr. Erskine. Mas</t>
  </si>
  <si>
    <t>chas cañoneras, y alistar hasta 100® hombres de milicias. Se asegura también que el ministro ingles Mr. Erskine y el capitán Douglas, comandante de la fragata inglesa la Belona&gt; han ido á Washington, con el objeto de alcanzar permiso para que la esquadra inglesa pueda hacer aguada en los puerto</t>
  </si>
  <si>
    <t>Escandon, Joaquín</t>
  </si>
  <si>
    <t>Joaquín Escandon</t>
  </si>
  <si>
    <t>ante mayor de la brigada de artilleros de guarnición de la isla de Mallorca al teniente de la misma D. Joaquín Escandon; el de teniente al subteniente D. Francisco Romagosa, y el de subteniente al teniente D. Antonio Gil y Mas, segundo ayudante de la plaza de Palma. En atención á los méritos y serv</t>
  </si>
  <si>
    <t>Escario y Domínguez, Santiago</t>
  </si>
  <si>
    <t>Santiago Escario y Domínguez</t>
  </si>
  <si>
    <t>l regimiento de infantería de Jaén se ha servido el Reí promover á subteniente de bandera al cadete D. Santiago Escario y Domínguez. S. M. se ha servido conferir el empleo de teniente de Rei de la plaza de Valencia al teniente coronel D. Francisco Xavier Osuna, habiéndose dignado S. M. concederle al propio tie</t>
  </si>
  <si>
    <t>Escoto y González, Manuel</t>
  </si>
  <si>
    <t>Manuel Escoto y González</t>
  </si>
  <si>
    <t>eros de aquella catedral: para la primera media- ración á D. Toribio González ; y para la segunda á D, Manuel Escoto y González, curas en la referida diócesi; y para una media ración, vacante en la metropolitana de Cuba por fallecimiento de D. Joan Antonio de Urive, á D. Juan Francisco Sánchez Díaz» cura d</t>
  </si>
  <si>
    <t>Escudero y Carrion, Francisco</t>
  </si>
  <si>
    <t>Francisco Escudero y Carrion</t>
  </si>
  <si>
    <t>. Angel Palacios; á teniente al subteniente D. Lorenzo María Lequericá y Riofrio, y á subteniente á D. Francisco Escudero y Carrion, vecino de la jurisdicción de las mismas compañías. En conseqüencia del aviso que se dio al público por este periódico en 22 de mayo próximo, á las 8 y media de la mañana del dia</t>
  </si>
  <si>
    <t>Escudero, Lorenzo</t>
  </si>
  <si>
    <t>Lorenzo Escudero</t>
  </si>
  <si>
    <t>García y D. Diego Fernandez de Castro, los dos primeros de granaderos; á ayudante mayor al teniente D. Lorenzo Escudero ; á tenientes de granaderos á los de fusileros D. Joaquín Palacio y D. Miguel Carballo, y de fusileros á los subtenientes D. Manuel Martínez Malo, de granaderos, D. Henrique O-Nei</t>
  </si>
  <si>
    <t>Escúpoli, Lorenzo</t>
  </si>
  <si>
    <t>Lorenzo Escúpoli</t>
  </si>
  <si>
    <t>e de las Carretas, á 2 rs.: puede ir en carta. Combate espiritual, escrito en italiano por el V. P. D. Lorenzo Escúpoli, traducido al castellano por González del Cueto, y reducido á la pureza original en esta última impresión por Guninel: 2 tomos en 8.° puestos en uno. _ Elogios históricos de los s</t>
  </si>
  <si>
    <t>Esíéoan Morrón</t>
  </si>
  <si>
    <t>de Zayas, D. Pascual Diaz Granados y D. Simón Guerrero; á Subteniente de granaderos al de fusileros D. Esíéoan Morrón &gt; á Subtenientes de fusileros á los Cadetes D. Manuel XJrueta y D. Manuel Conde, y al Soldado distinguido D.Juan de Dios Oiigos; y á Subteniente de bandera á D. Diego Viilamil, ve</t>
  </si>
  <si>
    <t>Espantoso, Matías</t>
  </si>
  <si>
    <t>Matías Espantoso</t>
  </si>
  <si>
    <t>minados en aritmética D. Ramón Covian, D. Antonio Ruftao Blanco, D. Josef Montes , D. Josef Luanco, D. Matías Espantoso» D. Andrés González Diez, D. Gaspar de Soto y Parga, D. Ramón Abad» D. Josef Jenér, D. Angel Selisis Palomo , D. Francisco Xavier Rivadulla y D. Gregorio Calderón y Durango: en ge</t>
  </si>
  <si>
    <t>Espejo, Antonio</t>
  </si>
  <si>
    <t>Antonio Espejo</t>
  </si>
  <si>
    <t>a, y una feria por 4 dias en el mes de setiembre, siendo el i.° en el 8 de dicho mes. En América. A D. Antonio Espejo, Teniente del regimiento de infantería de Nueva-España, se ha servido el Rey conferirle el empleo de Ayudante veterano del regimiento provincial de Valladolid en el mismo reyno. L</t>
  </si>
  <si>
    <t>Espinosa, Gregorio</t>
  </si>
  <si>
    <t>Gregorio Espinosa</t>
  </si>
  <si>
    <t>tenientes D. Juan Bilbao y D. Manuel Basanta : en él de Soria tenencia al subteniente de granaderos D. Gregorio Espinosa, y subtenencias de bandera al* sargento primero dé granaderos Don. Antonio Martin, y al cadete D. Pedro Ramiz: en el de la Princesa tenen*)</t>
  </si>
  <si>
    <t>Espona, Ramón</t>
  </si>
  <si>
    <t>Ramón Espona</t>
  </si>
  <si>
    <t>ntero , y empleo de alférez al portaguión D. Agustín Mellon: en el de Sagunto ayudantía al teniente D. Ramón Espona; y en el de húsares españoles empleo de alférez al cadete D. Diego Remen de Moneada. El captan general de Caracas, en varios oficios del mes de abril anterior, ha participado al S</t>
  </si>
  <si>
    <t>Esquella, Juan</t>
  </si>
  <si>
    <t>Juan Esquella</t>
  </si>
  <si>
    <t>mbrar á D. Jayme Esquella para una"canongía de la catedral de Menorca, vacante por fallecimiento de D. Juan Esquella. En el regimiento de reales guardias Walonas se ha servido el rey conceder el empleo de alférez de granaderos al de fusileros D. Augusto Beattlaincourt, conde de Martes. En el reg</t>
  </si>
  <si>
    <t>Essen</t>
  </si>
  <si>
    <t>o entre el general francés y el sueco, sino que resulta de las cartas que se han recibido aquí, que Mr. Essen tuvo instrucciones para, prolongar el armisticio á. un tiempo indeterminado; y que se realizó el 29 de abril enun convenio adicional___ Los refuerzos que debían pasará la Pomerani</t>
  </si>
  <si>
    <t>Essen, General</t>
  </si>
  <si>
    <t>General Essen</t>
  </si>
  <si>
    <t>rse en su nombre de las provincias en que han entrado como amigos. Según dicha gazeta, al ocupar el General Essen la fortaleza de Choczim, ha publicado las condiciones siguientes, que no dexan la menor duda</t>
  </si>
  <si>
    <t>Estala, Pedro</t>
  </si>
  <si>
    <t>Pedro Estala</t>
  </si>
  <si>
    <t>Buffon, clasificado según el sistema de Linneo por Renato Ricardo Castel, traducido é ilustrado por D. Pedro Estala, presbítero: tomo 20, que contiene la historia de los tucanos y de los papagayos, con copiosas adiciones sobre estas aves, en que se corrigen los errores del original. Lleva 4 est</t>
  </si>
  <si>
    <t>Estanislao</t>
  </si>
  <si>
    <t>Diciembre, tíltipio falleció en esta córte, á los 69* años, y meses y 8 días de edadi ei.ÉXcmo. Sr.’D. Estanislao deVelásco y Coello,' caballero pensionado de lá real y distinguida orden española de Carlos 111, Teniente General de la real armada, habiendo empezado su carrera de Guardia Marina en</t>
  </si>
  <si>
    <t>Estanislao de Guzman, Juan</t>
  </si>
  <si>
    <t>Juan Estanislao de Guzman</t>
  </si>
  <si>
    <t>e la ciudad de Buenos-Ayres: para otra de la de Quito, vacante por muerte de D. Lázaro Sevillano, á D. Juan Estanislao de Guzman: para la radon que este dexa á D. Josef Gabriel Batallas, y para la media-nracion que este obtiene á D. josef Isidro Camacho, cura rector de la misma iglesia. Asimismo se ha servi</t>
  </si>
  <si>
    <t>Estanislao de Veíasco y Coello</t>
  </si>
  <si>
    <t>e D, Vicente de la Costa, se radicaron y están pendientes los autos de testamentaría del Excmo. Sr. D. Estanislao de Veíasco y Coello, del consejo que fue de S. M. en el real y supremo de la Guerra, y teniente general de la real armada, en les que por la Excma. Sra. Doña María Mercedes de Parada , su viuda, como</t>
  </si>
  <si>
    <t>Estanislao de Velasco y Coello</t>
  </si>
  <si>
    <t>e D. Vicente de la Costa, se radicaron y están pendientes los autos de testamentaria del Excmo. Sr. D. Estanislao de Velasco y Coello¿ del consejo que fue de S. M. en el real y supremo de la Guerra, y teniente general de lá real armada,en los que por laExcma.Sra. Doña María Mercedes de Parada,su viuda , como mad</t>
  </si>
  <si>
    <t>l cargo de D. Vicente de la Costa,, se radicaron y penden los autos de testamentaría del Excmo. Sr. D. Estanislao de Velasco y Coello, del consejo que fue de S-M. en el real y supremo de la Guerra, y teniente general de la real armada, en los que por la Excma. Sra. Doña María Mercedes de Parada, su viuda, como m</t>
  </si>
  <si>
    <t>del cargo de D. Vicente de la Costa, se radicaron y penden los autos de tcstamenmía del Exorno. Sr. D. Estanislao de Velasco y Coello, del consejo que fue de S. M. en ei real y supremo de la Guerra, y teniente general de la real armada, en los que por la Exorna. Sra. Doña María Mercedes de Parada, su viuda, como</t>
  </si>
  <si>
    <t>Estanislao Potocki, Conde</t>
  </si>
  <si>
    <t>Conde Estanislao Potocki</t>
  </si>
  <si>
    <t>23‘.' # . . tas Mr. de Gütakowski, el Conde Estanislao Potocki, Mr. Wybicki, el Condo de Dzialyiuki , Mr. Brelinski y Mr. Sabolinski.” ' Se asegura que el Príncipe de Ponte- Corvo está nombrado Generalísimo de las tropas polacas. FRUSTA. Berl</t>
  </si>
  <si>
    <t>Estaola, Juan Ignacio</t>
  </si>
  <si>
    <t>Juan Ignacio Estaola</t>
  </si>
  <si>
    <t>; y Subtenencias de bandera .en el Inmemorial del Rey ai Sargento prímero de granaderos distinguido D. Juan Ignacio Estaola, y abCadete del de .Sevilla D. Alfonso Albornoz, y en el .de Ultóma al Cadete D. Pedro Pons. /ELREYseha servido nombrar Auditor de Guerra&gt;del Exército y Rey</t>
  </si>
  <si>
    <t>Estébau de Mas y Enrich</t>
  </si>
  <si>
    <t>.ho^cpmlslonado , residente en la villa de Guissona, y éscVíbaníá'dela comisión qúe-está acar'go de D. Estébau de Mas y Enrich.</t>
  </si>
  <si>
    <t>Esterhasy, Príncipe</t>
  </si>
  <si>
    <t>Príncipe Esterhasy</t>
  </si>
  <si>
    <t>mbrado por individuo» suyos á S. A. I. el archiduque Juan, al Príncipe reynante de Seharzenberg, al Príncipe Esterhasy, al Príncipe Sinzendorf, al conde Antonio de Eamberg, y al conde Rodolfo de Czernirfi. Eos títulos de académicos fueron presentados á S. A. I. el archiduque Juan por una diputar i</t>
  </si>
  <si>
    <t>Esteve, Benito</t>
  </si>
  <si>
    <t>Benito Esteve</t>
  </si>
  <si>
    <t>fante al ayudante, graduado de capitán, D. Gabriel de Tagle: en el de Calatrava tenencia al alférez D. Benito Esteve; y esta resulta al portaestandarte D. Pablo Bertendona: en el de Santiago empleo de portaestandarte al sargento primero D. Juan Qnesada; y en el de dragones del Rey ayudantía al t</t>
  </si>
  <si>
    <t>Estrada, Francisco</t>
  </si>
  <si>
    <t>Francisco Estrada</t>
  </si>
  <si>
    <t>eder empleo de portaestandarte al cadete D. Manuel de Arcos Gallego : en el de Alcántara tenencia á D, Francisco Estrada, guardia de Ccrps de la compañía española; y en el de Farneíie, ayudantía al teniente D. Francisco Gailardo: también se ha servido S. M. conferir compañía en el regimiento de drag</t>
  </si>
  <si>
    <t>Eugenio</t>
  </si>
  <si>
    <t>conferirle la séctétaría de gobierno del-supremo consejo de Hacienda, vacante por fallecimiento de D. Eugenio ae Renovales, con el sueldo de la dotación de este empleo, libre del derecho de media anata: en declarar sus ascensos á D. Pedro Joaquín de Cifuentes, cñcial primero menos antiguo</t>
  </si>
  <si>
    <t>Eugenio Aravaca</t>
  </si>
  <si>
    <t>, del gremio y claustro de la universidad de Cervera; D. Ramón Sarrais, médico y doctor en cirugía; D. Eugenio Aravaca, médico; D. Tomas de Llanes, teniente coronel de milicias; D. JuanAlmeyda; D. Manuel García Várela; D. Manuel Malo y Reyes; D. Blas Ostoloza, doctor en teología y cánones; D. Domi</t>
  </si>
  <si>
    <t>Eugenio Casares</t>
  </si>
  <si>
    <t>$. M. nombrarle para la ración que en la catedral de Segovia se halla vacante por fallecimiento de D. Eugenio Casares. El Rey se ha servido conceder en el regimiento de infantería de Hi</t>
  </si>
  <si>
    <t>Eugenio de Aravaca</t>
  </si>
  <si>
    <t>: D. Félix de las Cuevas, abogado de los reales consejos: D. Jaan Kearney: D. Josef Manuel del Rio: D. Eugenio de Aravaca, médico: el P. Alexandro Martínez del Patrocinio de la VE gen, de las escuelas pías; y D. Joaquín de Garay y Artabe.__ A todos estos íugetos se les ha dado una certificación de su</t>
  </si>
  <si>
    <t>Eugenio de Loque</t>
  </si>
  <si>
    <t>de reales Guardias Españolas; D. Francisco Xavier Cabanes?, abanderado de reales Guardias Waionas; D. Eugenio de Loque, vice-secretario de la junta de exámenes de esta corte; D. Pedro Josef de</t>
  </si>
  <si>
    <t>Eugenio de Luque</t>
  </si>
  <si>
    <t>escripción geográfica y política del gran imperio de Rusia, traducida del francés al castellano por D. Eugenio de Luque. Obra superior á quar.ta* se han publicado en su clase, que , ademas de presentar una idea histórica de aquel</t>
  </si>
  <si>
    <t>Eugenio de Zuloaga</t>
  </si>
  <si>
    <t>D. Joaquín Gaidiano', D. Josef'María Jussué, D. Josef Baquedano, D. Ramón Posada, D. Josef Bretón , Don Eugenio de Zuloaga, D. Vicente Bassoco y D. Manuel de la Torre. Ganaron el premio extraordinario eje instrucción religiosa los caballeros gefe de sala D. Manuel Fernandez, el de trozo D. Manuel Cáma</t>
  </si>
  <si>
    <t>n de Mazarredo, D. Juan de Arana", D. Pablo Ferrando, cadete del regimiento de infantería de Soria, D. Eugenio de Zuloaga, Don Josef María Jusscé y D. Josef Baqúedano. Ganaron el premio extraordinario de instrucción religiosa los caballeros seminarista mayor D. Manuel Fernandez, gefe de sala D. Manue</t>
  </si>
  <si>
    <t>Eugenio García</t>
  </si>
  <si>
    <t>ía anexa de la catedral de Cartagena , vacante por fallecimiento de D. Francisco Cerezo y Menoyo, á D. Eugenio García: para una capellanía de</t>
  </si>
  <si>
    <t>Eugenio Godos</t>
  </si>
  <si>
    <t>cia de bandera al sargento primero D. Francisco Carmelet: en el de Zaragoza tenencia al subteniente D. Eugenio Godos; y en el de las Ordenes Militares tenencia al subteniente de granaderos D. Pedro Royo. El rey se ha servido conferir la tenencia Coronela del regimiento de dragones de Pavía al te</t>
  </si>
  <si>
    <t>Eugenio Lucas</t>
  </si>
  <si>
    <t>o S. M. promover á capitán al teniente Don. Josef Viüareal; á teniente al subteniente de granaderos D. Eugenio Lucas, y á subteniente de granaderos al de fusileros D. Josef Cepero. El gobernador de Guayaquil ha dado cuenta al Serme. Sr. Príncipe de la Pa*z, Generalísimo. Almirante , que hallándo</t>
  </si>
  <si>
    <t>Eugenio Luque</t>
  </si>
  <si>
    <t>eminario de Vergara; y ha aprobado igualmente S. A. S. la elección que se ha hecho de la persona de D. Eugenio Luque, actual discípulo observador del instituto, para que establezca el método de enseñanza pestalozziana en la ciudad de Cádiz.' Desde el dia i.® de agosto hasta el último de setiembr</t>
  </si>
  <si>
    <t>Eugenio Neyra</t>
  </si>
  <si>
    <t>es D. Josef Nicolás Chacón y D. Pedro Benavides; y en el de Toledo Subtenencia de bandera al Cadete D. Eugenio Neyra. En el Regimiento de infantería del Príncipe se ha servido el Rey conferir Compañías ¿i los Capitanes D. Diego Montalvo y D. Pascual Novella, Teniente de granaderos y Ayudante dei</t>
  </si>
  <si>
    <t>Eugenio Roldan</t>
  </si>
  <si>
    <t>le adornaban, han hecho muy sensible su muerte. Reflexiones etcerea de leí atmosfera terrestre por D. Eugenio Roldan. Los hombres no son capaces de percibir movimiento sin imaginar alguna cosa fixa á que referirlo. Juzgando meramente por una apariencia mal considerada, creyeron que esta bóveda a</t>
  </si>
  <si>
    <t>45i Conclusión de las reflexiones acerca de la atmosfera terrestre por D. Eugenio Roldan. Hay asimismo cuerpos que el mayor calor conocido no puede liquidar, como también fluidos que el mayor frió de la tierra no es capaz de reducir á sólidos. En efecto, los fluidos q</t>
  </si>
  <si>
    <t>Eugenio Salvador</t>
  </si>
  <si>
    <t>érdidas que sufre todo país por los valores que se destinan á consumos improductivos no necesarios: D. Eugenio Salvador sobre la elevación que causan las vinculaciones y mayorazgos en el precio mercantil de las propiedades territoriales: D. Manuel Carrera de lo mucho que aceleran la circulación en</t>
  </si>
  <si>
    <t>Eugenio, Príncipe</t>
  </si>
  <si>
    <t>Príncipe Eugenio</t>
  </si>
  <si>
    <t>uier ley antigua en contrario. REYNO DE ITALIA. Milán 15 de abril. Se asegura que S. A. S. el virey Príncipe Eugenio, antes de salir para Venecia, se informó del estado y emolumentos de los curas párrocos d^l .reyno, y que viendo con harto dolor que muchos no tenían lo suficiente para desempeñar</t>
  </si>
  <si>
    <t>a presa inglesa Emmanuel, de 300 toneladas, que iba de Douvres á Falmolith. El corsario italiano el Príncipe Eugenio, capitán Bavastro, ha entrado en Barcelona con una embarcación inglesa, procedente de Esmirna para Londres, cuyo cargamento está Vallado en 6 millones áé reales. A mediados.de abr</t>
  </si>
  <si>
    <t>que el capitán Josef Babastro, miembro de la legión de Honor, comandante de la polacra francesa el Príncipe Eugenio, de 14 cañones y 150 hombres de tripulación, encontró en las aguas de Oran una corbeta inglesa de 14 cañones con 18 pasageroa que llevaba á bordo, y la obligó á rendirse después d</t>
  </si>
  <si>
    <t>Eulogio Villazan</t>
  </si>
  <si>
    <t>Goatemala, á D. Gabriel García Vallecillos; y para una plaza de agente de número de los de Indias á D. Eulogio Villazan. Por real decreto de S. M. de 23 de junio de 1807 se ha trasladado la feria anual que se celebraba en la villa de Uclés el dia 2 5 de julio á la dominica tercera de setiembre. Cum</t>
  </si>
  <si>
    <t>Eusebia Benot, María</t>
  </si>
  <si>
    <t>María Eusebia Benot</t>
  </si>
  <si>
    <t>le que llaman de los Hidalgos, perteneciente al vínculo que posté D. Miguel Agnirré, como marido de Doña María Eusebia Benot, vecinos dé dicha villa, tasada en 79,846 rs. Quien quisiere hacer postura, acuda ante el Sr. D. León de Sagasta, teniente corregidor dé esta villa, por la escribanía del número d</t>
  </si>
  <si>
    <t>Evaristo de la Dehesa</t>
  </si>
  <si>
    <t>Vicente García Cavero, alcalde del crimen mas antiguo del.mbnio tribtihaí; ■f' para está resulta á D. Evaristo de la Dehesa. También !se; ha dignado el Rey nombrar á B. Tomas María Romero Agredano, catedrático de leyes de la universidad dé Sevilla, para la plaza de fiscal déí cúrneri de lá chancillería</t>
  </si>
  <si>
    <t>Evaristo Fernández de San Miguel</t>
  </si>
  <si>
    <t>e voluntarios de Estado al cadete del primer batallón de infantería ligera de voluntarios de Aragón D. Evaristo Fernandez de San Miguel: en el regimiento de infantería del Príncipe tenencia al subteniente D. Josef Rodríguez; y en el de. Murcia subtenencia de bandera al cadete D. Juan Antonio de la Mata. Continuaci</t>
  </si>
  <si>
    <t>Evertz</t>
  </si>
  <si>
    <t>tos y 28 heridos. Los buques holandeses tuvieron 7 muertos, entre ellos el comandante de la fragata Mr. Evertz, yrofetos tantos heridos. A la salida de Mr. Lidiard no se sabia aun la pérdida de la guarnición,, que se defendió con mas valor que fortuna.—— El comandante ingles halria señalad</t>
  </si>
  <si>
    <t>Ewen Baillie</t>
  </si>
  <si>
    <t>Europa! El gobierno había nombrado para sucederle en la comandancia de la frontera ai mayor general Sir Ewen Baillie, mandándole que se dirigiese por Agrá y Denli á Mutra, donde era necesario observar con el mayor cuidado los movimientos de Holkar y de nuestros aliados los máratas. Tendrá baxo s</t>
  </si>
  <si>
    <t>Excel</t>
  </si>
  <si>
    <t>lOf laz, que mandaba la caballería ligera del tercer cuerpo; Mr. Excel-» mans , Coronel del i.° de cazadores; y .el General Petit. El Emperador ha mandado que en las relaciones de oficio que se bagan de los combates se anoten las proezas dignas de pas</t>
  </si>
  <si>
    <t>Fabre</t>
  </si>
  <si>
    <t>93 2 á la audiencia la diputación del tribunado, y su presidente, Mr. Fabre, arengo en términos propios de las circunstancias; S. M. el Emperador contestó con su afabilidad acostumbrada á ambas diputaciones. De todas las ciudades de Francia vienen continu</t>
  </si>
  <si>
    <t>Fabregues, Ramón</t>
  </si>
  <si>
    <t>Ramón Fabregues</t>
  </si>
  <si>
    <t>ara un beneficio de la parroquial de S. Andrés de la ciudad de Lérida, vacante por fallecimiento de D. Ramón Fabregues: á jD. Casimiro Franco para una ración de la parroquial de la villa de Caedla, de la propia diócesi, vacante por muerte de D. Vicente Mayor: á D, Jo■sef Mariano Morera para un ben</t>
  </si>
  <si>
    <t>Facundo Quevedo, Antonio</t>
  </si>
  <si>
    <t>Antonio Facundo Quevedo</t>
  </si>
  <si>
    <t>la Canongíaiectoral de escritura de la colegial de Baza , diócesis de Guadix, vacante por muerte de D. Antonio Facundo Quevedo, á D. Pedro Antonio Egaia : para el Beneficio simple servidero de la villa de RaVanera, en la diócesis de Osma, vacante por promoción de D. Antonio Araoz y Arredondo á una Canongi</t>
  </si>
  <si>
    <t>Fadrique</t>
  </si>
  <si>
    <t>sticos en varios .pueblos del priorato de Santiago de Uclés , residente en la villa de la Puebla de D. Fadrique , se han mandado sacar á Pública subasta por término de 30 dias las fincas siguientes, sitas en término de la puebla de Almcradtei:;369 fanegas y 11 celemines de tierra de labor e</t>
  </si>
  <si>
    <t>Falcon y Salcedo, Ramón</t>
  </si>
  <si>
    <t>Ramón Falcon y Salcedo</t>
  </si>
  <si>
    <t>cementerios, él alcalde mayor de está villa D. Jóaqúin de la Escalera , de acuerdo con el'llmoi Sr. D. Ramón Falcon y Salcedo, obispo de Cuenca, ha dispuesto y activado I3 construcción del de este pueblo conforme á las reglas e tebiecidas por las reales órdenes, habiendo merecido la aprobación del 'Ilmo.</t>
  </si>
  <si>
    <t>Falieri</t>
  </si>
  <si>
    <t>manifestó una inclinación declarada á la escultura, pues á la edad de 12 años sirvió en la mesa de Mr. Falieri , señor del pueblo de su nacimiento, un león de manteca de vacas. Esta friolera hace ver que en aquella edad era ya el león iu animal fa</t>
  </si>
  <si>
    <t>Falques, Antonio</t>
  </si>
  <si>
    <t>Antonio Falques</t>
  </si>
  <si>
    <t>rir en el regimiento de infantería de Asturias la comandancia del tercer batallón al sargento mayor D. Antonio Falques : en el de la Princesa compañía al ayudante, graduado de capitán, D. Josef Ucles; ayudantía al teniente de granaderos D. Josef Yarza Marín; tenencia al subteniente D. Juan Gamero,</t>
  </si>
  <si>
    <t>Faltón</t>
  </si>
  <si>
    <t>y ningún capítulo de oficio sino el de Madrid, ESTADOS-UNIDOS DE AMERICA. Nueva-Yorck 22 de agosto. Mr. Faltón, inventor de la máquina submarina para destruir qualquier embarcación, acaba de inventar y construir una barca de 140 pies de largo, cuya única fuerza motriz es el vapor, con el q</t>
  </si>
  <si>
    <t>Fariza, Domingo Julián</t>
  </si>
  <si>
    <t>Domingo Julián Fariza</t>
  </si>
  <si>
    <t>ta villa de Madrid, vacantes la una por muerte de D. Vicente Josef Dalmau, y la otra por ascenso de D. Domingo Julián Fariza á la dignidad de prior de la catedral de Sigíienza ; para la primera á D. Andrés García Gutiérrez Mellado, y para la segunda á D. Francisco Peraivo y Calero: para una media - raci</t>
  </si>
  <si>
    <t>Faustino González, Pedro</t>
  </si>
  <si>
    <t>Pedro Faustino González</t>
  </si>
  <si>
    <t>capitán primero al segundo D. Alexandro de Hore; y á capitán segundo en el de Barbastro al teniente D. Pedro Faustino González. El Rey se ha servido promover á comisarios de guerra y de artillería á los comisarios de artillería honorarios de guerra D. Andrés Gallego y Don Juan Antonio Várela: i comisarios</t>
  </si>
  <si>
    <t>Fausto Catalán</t>
  </si>
  <si>
    <t>y subtenencia de granaderos al capitán , .primero ,y segunda teniente ;y;;sabtenieníe de fulleros, D. Fausto Catalán , t&gt;¡ Pedro Gutierfjez, D.;Gaspar.Fernandez y D, Pedro Sánchez: compañía, primera y segunda tenencia y subtenencia de fu ileros á. Don josef Delahauty , D. Carlos Carta , í&gt;. Aure</t>
  </si>
  <si>
    <t>Federich, Antonio</t>
  </si>
  <si>
    <t>Antonio Federich</t>
  </si>
  <si>
    <t>ef Gómez de la Torre : ayudantía en el de voluntarios de Castilla ai teniente, graduado de capitán, D. Antonio Federich ; y subtenencia de bandera en el de Ultonia al cadete D. Josef María Col ubi. El Rey se ha servido conferir la sargentía mayor del regimiento de caballería de Farnesio al teniente</t>
  </si>
  <si>
    <t>Federico de Hesse, Príncipe</t>
  </si>
  <si>
    <t>Príncipe Federico de Hesse</t>
  </si>
  <si>
    <t>El Príncipq,llegó el 30 por la noche á Louisenlund, de donde salid al día siguiente eñ compañía del Príncipe Federico de Hesse, gobernador de Rendsborg; y ya ha habido noticia de que llego con felicidad á Odonsea, para donde ha marchado también el regimiento del Príncipe Real. Algunos viageros cuentan que</t>
  </si>
  <si>
    <t>d á Zelandia, y el día 7 se lé esperaba en Copenhague. El gobierno de esta plaza se ha conferido al Príncipe Federico de Hesse, y la comandancia ai conde de Baudissin. ' PRUSIA. Berlín 28 de octubre. La situación política de este país es cada diamas ambigua; las noticias que recibimos sucesivamente sobre</t>
  </si>
  <si>
    <t>la capitulación de Copenhague, han sido arrestados y puestos en consejo de guerra, que presidirá el Príncipe Federico de Hesse. El mayor Zeschka, que mandaba en Heiligeland, ha sido absuelto. Mr.'Waltersdoríf, que también debia ser juzgado con el general Peyman, se ha tirado un pistoletazo. Elseneur ij de</t>
  </si>
  <si>
    <t>e habían acumulado en dicha isla. El Príncipe heredero llegó á esta capital el dia 6 acompañado del Príncipe Federico de Hesse, á quien se ha confiado el gobierno de la plaza, y del conde Baudissin, nombrado comandante de la misma. El Príncipe habita en el palacio de Amalienbourg, y desde que ha venido ae</t>
  </si>
  <si>
    <t>Federico Gravina</t>
  </si>
  <si>
    <t>notorio, del importante punto de la plaza de Rosas, siendo segundo del capitán general de la armada D. Federico Gravina. De teniente de fragata fue nombrado ayudante de la compañía de guardias-marinas del departamento de Cartagena, cuya comandancia sirvió interinamente, habiendo mandado en propieda</t>
  </si>
  <si>
    <t>Federico La Cos</t>
  </si>
  <si>
    <t>iente siguió haciendo su secvicio de artillería, á que io tenia destinado con el Alférez de Fragata Don Federico La Cos. * ¿^Considerando que si los enemigos se refugiaban en el fuerte tendría que batirlós en brecha, habia hecho desembarcar dos cañones de á 18 de'dz goleta Dolores, por ser barco de</t>
  </si>
  <si>
    <t>Federico la Cosle</t>
  </si>
  <si>
    <t>o D. Benito Correa, D. Manuel de la Iglesia , D. Joaquín Toledo y D. Josef Miranda, y el de Fragata D. Federico la Cosle noche fué malísima. La tropa la pasd sobre las armas, sin que sé óptase la menor queja.f Al día Siguiente 5 del «órnente me dirigí al fseblo deJS. JiídroV atravesamos entré íaS ac</t>
  </si>
  <si>
    <t>Federico Lados</t>
  </si>
  <si>
    <t>D. Manuel Iglesias, D. Benito Correa, D. Domingo Allende y D. Josef Miranda; los alféreces de navio D. Federico Lados y D. Jacinto Butler, y los de fragata D. Josef Aldana y D. Martin Asas. Los ataques por los demás puntos de la ciudad fueron muy felices: á cada momento se tomaban prisioneras partida</t>
  </si>
  <si>
    <t>Federico Quartery</t>
  </si>
  <si>
    <t>t á subteniente al cadete D. Agustín Gir; y en el de Preux á teniente al subteniente .de granaderos D. Federico Quartery; y á subteniente de bandera al cadete D. Guillermo Kalbérmaten. ' * Hv S. M. ha nombrado para la plaza del consejo'real, vacante por fallecimiento del señor conde de Isla , al Sr.</t>
  </si>
  <si>
    <t>Federico Studer</t>
  </si>
  <si>
    <t>ísimo Señor Príncipe Generalísimo Almirante, se resolvió á emprender tan largo viage en compañía de Don Federico Studer, segundo ayudante del establecimiento, que venia á incorporarse en. él, y á conducir ios últimos adelantamientos del célebre Pestalozzi.__ .Se dio parte al Serenísimo Señor Prínci</t>
  </si>
  <si>
    <t>Federico, Príncipe</t>
  </si>
  <si>
    <t>Príncipe Federico</t>
  </si>
  <si>
    <t>esta ciudad han mandado publicar este bando: „ A conseqüenci-a de una orden superior de S. A. R. el Príncipe Federico, en que se manda, con motivo de la guerra entre Dinamarca é Inglaterra , que todos los ciudadanos tomen las armas en defensa de la patria; que sean arrestados todos los ingleses q</t>
  </si>
  <si>
    <t>Fee, Alberto</t>
  </si>
  <si>
    <t>Alberto Fee</t>
  </si>
  <si>
    <t>el; á ayudante al teniente de granaderos D. Vicente Meyer; á teniente de granaderos al de fusileros D. Alberto Fee; á teniente de fusileros al subteniente de granaderos D. Domingo Oniiin; á subteniente de granaderos al de fusileros D. Juan Hellerbach, y ¿ subteniente de fusileros al cadete D.</t>
  </si>
  <si>
    <t>Feílenberg</t>
  </si>
  <si>
    <t>s instrumentos aratorios de mayor crédito-. como;; la sembradera, la azada de caballo &amp;c.. El mismo Mr. Feílenberg ha conseguido perfeccionar varios de estos instrumentos , y puesto: talleres paraf fabricarlos. A estos medios materiales ha juntado la enseñanza de los jóvew nes de todas edades</t>
  </si>
  <si>
    <t>Felegrin Bondia</t>
  </si>
  <si>
    <t>20'''3 2 • Felegrin Bondia....... de Francisco.• Valencia ....................... ]793" Muert. 9°· .. 13· Pascual Ferriol ••.••••• de J</t>
  </si>
  <si>
    <t>Felicia Rubio</t>
  </si>
  <si>
    <t>a repetición y cadena también de oro se rifaban en favor de los pobres enfermos, y cupo la suerte á Doña Felicia Rubio, que vive en la calle de la Paz , casa sin número; 1© que se anuncia al público para sü inteligencia, y también que, para realizar los benéficos deseos y piadosas intenciones de c</t>
  </si>
  <si>
    <t>Feliciano Molina</t>
  </si>
  <si>
    <t>al seminario de nobles de Madrid; y para la ración de la catedral de Málaga, vacante por ascenso de D. Feliciano Molina i canongía de la misma, á D. Josef María Granados, medio-racionero de la misma. En la compañía Flamenca del real cuerpo de guardias de Corps se ha servido el Rey nombrar cadete de</t>
  </si>
  <si>
    <t>Felipa de Diego, María</t>
  </si>
  <si>
    <t>María Felipa de Diego</t>
  </si>
  <si>
    <t>escribanía de D. Manuel Fernandez de Andrade. A voluntad de los interesados en la testamentaría de Doña María Felipa de Diego, y en virtud de providencia del señor teniente corregidor 4e esta villa D. León de Sagasta, ante el escribano de su número D. Jacobo,Manrique, se han mandado sacar á pública subas</t>
  </si>
  <si>
    <t>Felipe'Ramírez de Briones</t>
  </si>
  <si>
    <t>o en 380,309 rs. Quien quisiere hacer postura acuda por la escribanía de la comisión, que desempeña D. Felipe'Ramírez de Briones. Por providencia del¡corregidor ddda ciudadde Alcañiz y su partido, subdelegado para la1 venta de bienes eclesiásticos, se&gt;ha mandadosacar á pública subasta una heredad llamada la</t>
  </si>
  <si>
    <t>Feliu, Manuel</t>
  </si>
  <si>
    <t>Manuel Feliu</t>
  </si>
  <si>
    <t>tivas clases inmediatas de coronel, teniente coronel, sargento mayor de brigada y capitán primero á D. Manuel Feliu, D. Juan Pirez, D. Mauricio Rodríguez de Berlanga y D. Francisco Ximenez de la Isla. El Rey se ha servido nombrar subteniente de artilleros á caballo del primer regimiento al subt</t>
  </si>
  <si>
    <t>Fellenberg</t>
  </si>
  <si>
    <t>con seriedad de completar sus contingentes para los regimientos que están al sneldo de la;Francia. Mr. Fellenberg ha formado en Holwil, lugar del cantón de Berna, un establecimiento que merece la atención de las agrónomos. Ha reunido en una hacienda de mucha extensión todos Jos méiodos modérn</t>
  </si>
  <si>
    <t>Femando Miranda</t>
  </si>
  <si>
    <t>e la parroquial de Monroyo , diócesi de Zaragoza, vacante por fallecimiento de D. Jacinto Báycd': á D. Femando Miranda para el beneficio primero de Sta. Catalina, vacante en la catedral de Barcelona por muerte de D. Josef Inglesa; y á D. Miguel Cásset para otro beneficio, cum</t>
  </si>
  <si>
    <t>Fen-erolle, General</t>
  </si>
  <si>
    <t>General Fen-erolle</t>
  </si>
  <si>
    <t>das sus mochilas , y muchos:muertos..Todas las col unas enemi gas se retiraron hácia Ostrotenka. £1 General Fen-erolle, que mandaba una brigada de dragones, fué muerto dé un cañonazo. El intrépido General Rapo, Edecán del Emperador, recibió un furilazo estando á la cabeza de su división de dragone</t>
  </si>
  <si>
    <t>Fermín Crespo, Manuel</t>
  </si>
  <si>
    <t>Manuel Fermín Crespo</t>
  </si>
  <si>
    <t>o de los discípulos sobre las proposiciones que les habian tocado por suerte, y son las siguientes: D. Manuel Fermín Crespo sobre si las sociedades y demas cuerpos patrióticos han promovido la cultura, riqueza y población de los países en que han sido establecidos: D. Josef Capilla sobre sí se enriquec</t>
  </si>
  <si>
    <t>Fermín de Martiarena</t>
  </si>
  <si>
    <t>ad de Alcalá de Henares, y escribanía de D. Pascual Zamora, penden autos, en los que tienen'ínteres D. Fermín de Martiarena, sus hijos, herederos o representantes; y por tanto se l.s llama y emplaza para que dentro del preciso término de 30 dias, contados desde 20 de agosto último, comparezcan en dicho</t>
  </si>
  <si>
    <t>Fermín Fernández de Estrada</t>
  </si>
  <si>
    <t>neralísimo Almiranie, de los quales 20© eran del mismo prelado, 3© de su cabildo, 6© del presbítero D. Fermín Fernandez de Estrada, y el resto del clero y varios particulares: todo de resultas de la expresada pastoral dictada y sostenida por los constantes paternales desvelos de nuestro benemérito diocesano.</t>
  </si>
  <si>
    <t>Fermín Latre</t>
  </si>
  <si>
    <t>n Agramuntell, y la otra por haber pasado con destino á la catedral de Toledo D. Daniel Traveria, á Don Fermín Latre, sorchantre de la catedral de Barbastro, y á D. Juan Bautista Tárrega, tenor de la de Tarazona. El rey se ha servido nombrar coronel del regimiento de infantería fixo de Ceuta á D</t>
  </si>
  <si>
    <t>Fermín Remon</t>
  </si>
  <si>
    <t>al sociedad D. Mateo Diez y Duran, intendenta general dé está ciudad y provincia, otro; el tesorero D. Fermín Remon dos; D¿ Bernardo Esquivel, barón de Palíamelo, otro; D. Miguel Carrillo y Barnuevo otro; DiMatíál Márkiv diputado de abastos, otro; D. Blas Luis, procurador persQnero, otro; D. Vicent</t>
  </si>
  <si>
    <t>Fermín Rico y Yañez, Pedro</t>
  </si>
  <si>
    <t>Pedro Fermín Rico y Yañez</t>
  </si>
  <si>
    <t>s maytines, pascuas y octava de natividad, y fiesta de aguinaldos, llamada epifanía, compuestos por D. Pedro Fermín Rico y Yañez. Se hallarán en las librerías de Escribano y Perez, calle de las Carretas, y en otras varias de esta corte. GRABADO. Calendario de la infancia para el año 1808, con varias cancion</t>
  </si>
  <si>
    <t>Fernanda Salina</t>
  </si>
  <si>
    <t>e la Bendición de Jacob 4 sus nietos por el delGíiercino, que están grabando los hábiles profesores D. Fernanda Salina y D. Rafael Tisteve, según se anunció al público en gazeta de 14 de noviembre próximo pasado, sino también 4 las de mas obras de esta clase que se publiquen en io-sucesivo por la prop</t>
  </si>
  <si>
    <t>Fernández Cabrafigal, Manuel</t>
  </si>
  <si>
    <t>Manuel Fernández Cabrafigal</t>
  </si>
  <si>
    <t>salud. El Rey se ha servido conceder en el Regimiento de infantería de León Tenencia al Subteniente D. Manuel Fernandez Cabrafigal. ' El dia 12 de Noviembre próximo pasado falleció en esta Corte, á la edad de 57 años, 6 meses y 25 dias, el Excmo. Sr. £&gt;. Luis María Fernandez de Córdoba Gonzaga y la Cerda, Duq</t>
  </si>
  <si>
    <t>Fernández de Andrade, Manuel</t>
  </si>
  <si>
    <t>Manuel Fernández de Andrade</t>
  </si>
  <si>
    <t>apital , tasado todo en 88,067 rs. Quien quisiere hacer postura, lo practicará por la escribanía de D. Manuel Fernandez de Andrade. A voluntad de los interesados en la testamentaría de Doña María Felipa de Diego, y en virtud de providencia del señor teniente corregidor 4e esta villa D. León de Sagasta, ante e</t>
  </si>
  <si>
    <t>Fernández de la Cuesta, Pedro</t>
  </si>
  <si>
    <t>Pedro Fernández de la Cuesta</t>
  </si>
  <si>
    <t>o Pórtela ; Tenencia al Subteniente D. Josef Rodríguez. Pantiga, y Subtenencia de bandera al Cadete D. Pedro Fernandez de la Cuesta: en el de Granada Subtenencia de bandera al Cadete del”de la Corona D. LuiáRutes eñ él de Extremadura Subtenencia de bandera al Cadete D. Joaquín dei Hoyo ; y en el de Ñapóles com</t>
  </si>
  <si>
    <t>Fernández de la Pradilla, Vicente</t>
  </si>
  <si>
    <t>Vicente Fernández de la Pradilla</t>
  </si>
  <si>
    <t>s progresos prácticos de sus discípulos D. Francisco de Paula Colom y Osorio, D. Juan de la Piedra, D. Vicente Fernandez de la Pradilla ,D. Juan Josef Menendez y D. Alexo Rubalcava en un plano del arrecife, que desde esta ciudad parte á la de Xerez, levantado por dichos jóvenes con tanto esmero, que merecieron los</t>
  </si>
  <si>
    <t>Fernández de Navarrete, Sebastián</t>
  </si>
  <si>
    <t>Sebastián Fernández de Navarrete</t>
  </si>
  <si>
    <t>D. Manuel de la Cámara, D. Josef Fernandez, D. Manuel Abad, D. Manuel Ferrando, D. Alexandro Lagoa, D. Sebastian Fernandez de Navarrete, D. Carlos Van-Zoelen, y los caballeros seminaristas D. Luis Berganzá, D. Bonifacio Olivencia, D. Bernabé de Otalora , D. Juan de Mazarredo, D. Juaa Ortiz de Zarate, D. Juan de Ab</t>
  </si>
  <si>
    <t>uel de la Cámara: ios gefes de trozo D. Manuel Ferrando , D. Josef Fernandez, D. Carlos Van-Zoelen, D. Sebastian Fernandez de Navarrete y D. Luis Berganza; y los seminaristas D. Pedro Sánchez Pavón, D. Pablo Unda, D. Bonifacio Olivencia, D. Bernabé de Otalora, D. Juan de Mazarredo, D. Juan de Arana", D. Pablo Ferrando</t>
  </si>
  <si>
    <t>Fernández de Velasco, Ignacio</t>
  </si>
  <si>
    <t>Ignacio Fernández de Velasco</t>
  </si>
  <si>
    <t>e Chorno : á -Capitanes á les Tenientes D. Antonio Coudougnan, de granaderos,D. Bartolomé Pellerin, D. Ignacio Fernandez de Velasco, Ayudante mavor ^graduado de Capitán , D. Rafael Croqutr y D. Jóséf Cortes, ambos de granaderos ; á Ayudante mayor al Teniente D. Antonio Gayarre; á Tenientes de granaderos i Jos</t>
  </si>
  <si>
    <t>Fernández de Villa, Francisco</t>
  </si>
  <si>
    <t>Francisco Fernández de Villa</t>
  </si>
  <si>
    <t>Torres, D. Mauricio del Valle, D. Severino de Salazar, Doña Josefa Zurariain,D.Francisco del Valle, D. Francisco Fernandez de Villa, D. Estéban Beulf, D. Cayetano Franques, D. Pascual &lt;Gisbert,T&gt;. Andrés de A yala,D.Félix deRivas, las memorias deVargas y Doña Leonor Perez de Arraciel, á quienes les está comuni</t>
  </si>
  <si>
    <t>Fernández del Pino, Francisco</t>
  </si>
  <si>
    <t>Francisco Fernández del Pino</t>
  </si>
  <si>
    <t>ho día á la escribanía del número de D. Antonio López de Salazar. , avisos. Por providencia del Sr. D. Francisco Fernandez del Pino, alcalde del crimen de Irreal audiencia de Sevilla, y encargado interinamente del despacho del juzgado de aquella provincia, se ha señalado el término de 4años para que dentro de</t>
  </si>
  <si>
    <t>Fernández del Valle, Juan</t>
  </si>
  <si>
    <t>Juan Fernández del Valle</t>
  </si>
  <si>
    <t>eto de la flebotomía ú operación de la sangría: un tomo en 8.° á 10 rs. en pasta. Son originales de Don Juan Fernandez del Valle, cirujano de número y de entradas en los reales hospitales. Se hallarán en la librería de Escribano, calle de las Carretas. Instrúcciones cristianas para los militares, traducidas</t>
  </si>
  <si>
    <t>Fernández Fragua, Joaquín</t>
  </si>
  <si>
    <t>Joaquín Fernández Fragua</t>
  </si>
  <si>
    <t>eculativa D. Josef Genaro Ghapley D;* Ildefonso Pozb, Don Joaquín Verástegui, D. Josef Natfarfete , Dr Joaquín Fernandez Fragua* y los dichos Royo, Mes, Becerra* Carrero y Eirea. En geometría práctica D. Josef Demblans y los citados Fragua, Ghaple, Pozo , Verástegui y Navarrete. En trigonometría plana y es</t>
  </si>
  <si>
    <t>Fernández Navarrete, Martín</t>
  </si>
  <si>
    <t>Martín Fernández Navarrete</t>
  </si>
  <si>
    <t>¡Hamil , auditor general; el gefe de esquadra D. Josef de Espinosa, secretario; el capitán de navio D. Martín Fernandez Navarrete, contador; y el Sr. D. Manuel Sixto de Espinosa, del consejo de Estado, tesorero del Almirantazgo, y general de la marina en ccmi-ion.__ S. A. S. arengó después al consejo manifes</t>
  </si>
  <si>
    <t>Fernández Nieto, Pedro</t>
  </si>
  <si>
    <t>Pedro Fernández Nieto</t>
  </si>
  <si>
    <t>en 29,147 rs. Quien quisiere hacer postura’acuda á la escribanía de la comisión que está á cargo de D. Pedro Fernandez Nieto; * Pór providéncia del Sr. D.- Torquato Antonio* Collado,,Teniente- Corregidor-' De-ponderib. et mens&gt; cap. 13. (8}. Metrologieou, traite; des. mesures,, poids et monnoics..</t>
  </si>
  <si>
    <t>postura á qualquiera de dichas fincas, lo executará por la escribanía de la comisión, que desempeña D. Pedro Fernandez Nieto. Por previdencia de D. Esteban de la Madrid y Montes, comisionado real en Toledo, se sacan á pública subasta, por término de 30 días contados desde el 7 del corriente, las fincas</t>
  </si>
  <si>
    <t>, cobrando solo visitas á los extrangeros transeúntes. Los pretendientes dirigirán sus memoriales á D. Pedro Fernandez Nieto, secretario , hasta el dia 2 2 del presente. Se halla vacante la plaza de cirujano de la villa de Estremera, provincia de Toledo distante 9 leguas de esta corte : tiene de situado</t>
  </si>
  <si>
    <t>ios artesanos y no pobres. Los pretendientes remitirán sus memoriales al secretario ds ayuntamiento D. Pedro Fernandez Nieto; con advertencia que el dia 23 del corriente se cumple el término para la admisión de memoriales.. Se halla vacante la plaza de médico del cabildo de la catedral de Osma, cuya dot</t>
  </si>
  <si>
    <t>Fernández Rondero, Vicente</t>
  </si>
  <si>
    <t>Vicente Fernández Rondero</t>
  </si>
  <si>
    <t>Olarte y D. Juan Manuel Cabello; y á Portaguiones ¿ los vecinos de Ja demarcación del misino Cuerpo D. Vicente Fernandez Rondero y D. Francisco Alvarez. v Atendiendo S. M. á los distinguidos servicios del Intendente de Provin* cia graduado D. Juan de Aguilar, se ha servido nombrarle para la Intendencia de Exérc</t>
  </si>
  <si>
    <t>Fernández Taboada, Gabriel</t>
  </si>
  <si>
    <t>Gabriel Fernández Taboada</t>
  </si>
  <si>
    <t>ras. Hace ya 2 años y medio que hizo estos experimentos en la escuela práctica de química de Madrid D. Gabriel Fernandez Taboada, catedrático de química y mineralogía, nombrado últimamente por S. M. para el real seminario cantábrico. Por providencia de D. Manuel Angel Carranclo, comisionado real',se ha mand</t>
  </si>
  <si>
    <t>................. ~ ' ' , Sobre el solimán, mercurio dulce y y precipitado blanco dé mercurio y pot D. Gabriel Fernandez Taboada.. ^ Siendo las producciones de la naturaleza y del arte problemas que laí química debe resolver para proporcionar á los hombres todas las Utilidades que puedan resultar conociendo</t>
  </si>
  <si>
    <t>Peraiveles. ■Continuación sobre el solimán, mercurio dulce * y precipitado blanco de mercurio , por D. Gabriel Fernandez Taboada* . Sintesis del solimán. , l.° Se expuso al fuego en una retortita tarada una mezcla de 100 granos de azogue y 200 de ácido nítrico puro. Permaneció en tai estado, hasta que cesó</t>
  </si>
  <si>
    <t>Fernández Tello, Juan</t>
  </si>
  <si>
    <t>Juan Fernández Tello</t>
  </si>
  <si>
    <t>ndera al sargento primero D. Antonio Aragón: en el de Granada subtenencia al cadete del de la Reyna D. Juan Fernandez Tello; y en el de Voluntarios de Estado tenencia al subteniente de granaderos D. Luis Manutl Zamora, y subtenencia de bandera al cadete D. Antonio Mir Martínez. F.l rey se ha servida co</t>
  </si>
  <si>
    <t>Fernández Várela, Manuel</t>
  </si>
  <si>
    <t>Manuel Fernández Várela</t>
  </si>
  <si>
    <t>a y canongía unida de la catedral de Lugo, vacante por fallecimiento de D. Antonio Roza y Seixas, á D. Manuel Fernandez Várela, abad electo del Ferrol, en la diócesi de Mondoñedo: para la canongía-de la ¿colegiata de Sta. Fe de Granada, vacante por renuncia de D. Martín de Luque y Lozano, á quien tuvo á b</t>
  </si>
  <si>
    <t>Fernández Varela, Manuel</t>
  </si>
  <si>
    <t>Manuel Fernández Varela</t>
  </si>
  <si>
    <t>eyno de Galicia en la iglesia de S. Felipe el Real de esta corte, por el Dr. D. Manuel Fernandez Varela, presbítero, canónigo y dignidad de prior de la catedral de Lugo : con un resumen de las pruebas de la venida de Santiago á España. Se hallará en Ja librería de Campo, calle de Alcalá, en la</t>
  </si>
  <si>
    <t>Fernández Vedra, Juan</t>
  </si>
  <si>
    <t>Juan Fernández Vedra</t>
  </si>
  <si>
    <t>D. Joref de Miranda, D. Domingo Allende y D. Joaquín Toledo t d alféreces de navio á los de fragata D. Juan Fernandez Vedra, D. Jacinto Butler y D. Federico Lacosse : d alférez de fragata di aventurero Di. Agustín Aldecca \ d comisario de guerra de. Marina al oficial. 1*° dei ministerio D*- Manuel de E</t>
  </si>
  <si>
    <t>Fernández VillamiL Fueron, Cayetano</t>
  </si>
  <si>
    <t>Cayetano Fernández VillamiL Fueron</t>
  </si>
  <si>
    <t>212 distinción. Dióse principio por uri discurso que^ leyó et primer maestro Don Cayetano Fernandez VillamiL Fueron examinados en aritmética D. Manuel Royo, D. Josef Mes, D. Bernardo Becerra, D.Josef Carrero, D. Ramón Eiroa, D. Ramón Suazo, D. Antonio Valentín Díaz, D. Josef Hordavidalnz, D. Lore</t>
  </si>
  <si>
    <t>Fernández Villamil, Cayetano</t>
  </si>
  <si>
    <t>Cayetano Fernández Villamil</t>
  </si>
  <si>
    <t>oso. Diose principia á ellos por un discurso alusivo al objeto, que leyó el primer maestro director D. Cayetano Fernandez Villamil. Fueron examinados en aritmética D. Ramón Covian, D. Antonio Ruftao Blanco, D. Josef Montes , D. Josef Luanco, D. Matías Espantoso» D. Andrés González Diez, D. Gaspar de Soto y Pa</t>
  </si>
  <si>
    <t>Fernández, Antonio</t>
  </si>
  <si>
    <t>Antonio Fernández</t>
  </si>
  <si>
    <t>a audiencia dei'Sr. D. Torquato Antonio Collado, Teniente Corregidor de esta villa, y escribanía de D. Antonio Fernandez,se han mandado sacar a subasta, por término de 15 dias contados desde 22 de Diciembre áltimo, las fincas siguientes: una tierra en término del lugar de Villaverde, de caber 3 fane</t>
  </si>
  <si>
    <t>esta villa, en el término de go días contados desde el 22 de Diciembre último, por ia escribanía de D. Antonio Fernandez, donde se hallan radicados los autos formados por la muerte intestada de dicho Burgos, á justificar su derecho, y pedir lo que les convenga; con apercibimiento que pasado dicho té</t>
  </si>
  <si>
    <t>ia* ñúm. 33 , manz. 292 tasada en 104,644^3. Quien quisiere hacer postura acuda á Ja escribanía; de D. Antonio Fernandez. - ' ¿ Por providencia del.Sr, D. león de Sagasta, Teniente Corregidor de está villa, está sacada á pública subasta una casa sita en la calle de lás Platerías de esté Corte *j&gt;úm.</t>
  </si>
  <si>
    <t>ies, de 9 fanegas y 5 celemines , en 2825 rs* Quien quisiere hacer postura acuda á la escribanía de D. Antonio Fernandez. En 23 de febrero anterior se remataron en las des terceras partes de su tasación en metálico tres tierras, á saber: una al sitio de ViJuavevde, término de la vi11^ de, Barajas, d</t>
  </si>
  <si>
    <t>de término para la admisión de la puja dei quarto. Quien quisiere hacerla, acuda á la escribanía de D. Antonio Fernandez. Quien quisiere comprar una casa sita en esta corte, plazuela antigua de Ja Paja al baxar de las calles de S. Miguel y Caballero de Gracia, núm. 2, manz. 2 98, tasada en 406,264 r</t>
  </si>
  <si>
    <t>444 ie hacerla acuda á la escribanía de D. Antonio Fernandez.=Por la misma escribanía, para pago de un acreedor, se venden dos casas sitas en esta corte en las calles de S. Bernardo y Zurita, barrios de S. Lorenzo, distinguidas ambas con el</t>
  </si>
  <si>
    <t>audiencia del Sr. D. Torquato Antonio Collado, teniente corregidor de esta villa , y escribanía de D. Antonio Fernandez, se-ha sacado á pública subasta, por término de 30 días, un oficio de rebeptof de esta córte y reales consejos, tasado en 14,500 rs. en metálico. Quien quisiere hacer postura acud</t>
  </si>
  <si>
    <t>481 escribanía de D. Antonio Fernandez, se cita, llama y emplaza á los dueños de dos censos impuestos sobre una casa sita en esta corte , calle de Jacometrezo, núm. n, manz. 379 , el uno de 11,963 rs. 23 mrt., á favor</t>
  </si>
  <si>
    <t>gar.. Por el Sr., D. Torquato Antonio Collado,, teniente corregidor dé esta villa , y escribanía de D. Antonio Fernandez,, se cita,, llama y emplaza á todas y qualesquiera. personas que presuman tener algún derecho ó repetición contra una casa, sita en el Lugar de Carabanchel de abaxo, que tiene la</t>
  </si>
  <si>
    <t>Fernández, Domingo Francisco</t>
  </si>
  <si>
    <t>Domingo Francisco Fernández</t>
  </si>
  <si>
    <t>i Rey se ha servido nombrar para la vara de alcalde mayor de la ciudad de Jaca, de segunda clase, á D. Domingo Francisco Fernandez; y para otra de la villa deTotana, territorio de la orden de Santiago, de tercera clase ó de término, á D. Manuel de Valdivielso. S. M. se ha servido nombrar para el corregimiento</t>
  </si>
  <si>
    <t>Fernández, Juan Manuel</t>
  </si>
  <si>
    <t>Juan Manuel Fernández</t>
  </si>
  <si>
    <t>, que se ausentó con su madre *3 años hace de la ciudad de Valencia. Quien supiere de él, avisará á D. Juan Manuel Fernandez, en Sanlúcar de Barranuda, quien tiene que comunicarle asuntos de importancia» II BROS. Curso completo elemental de matemáticas puras, compuesto en francés por S. F. lacroix , mie</t>
  </si>
  <si>
    <t>Fernández, Manuel</t>
  </si>
  <si>
    <t>Manuel Fernández</t>
  </si>
  <si>
    <t>villa de Arévalo á D. Manuel Esteban Saenz de Buruaga: para otro igual de la ciudad de Chinchilla á D. Manuel Fernandez. Duran: para la Vara de Alcalde mayor de la ciudad de Ronda á D. Josef Manuel Calderón de Guevara, Alcalde del crimen honorario de la Audiencia dé Extremadura: para la de la ciuda</t>
  </si>
  <si>
    <t>ista mayor D. Francisco Barrayena, cadete del regimiento de infantería de Toledo, los gefes de sala D. Manuel Fernandez, D. Ántero Henriquez Calderón y D. Josef Martínez: los gefes de trozo D. Manuel de la Cámara, D. Josef Fernandez, D. Manuel Abad, D. Manuel Ferrando, D. Alexandro Lagoa, D. Sebast</t>
  </si>
  <si>
    <t>Muert. 145 ... 17. Manuel Fernandez ... de Ramon..••• S. Martin de Baldueza ... 1802 .. Licenc. 141 ... 32. Nicolas Ximenez ..... de Gabriel.. .. Santo Domin~o en el</t>
  </si>
  <si>
    <t>$2$ fue ganado por los caballeros seminarista mayor D. Manuel Fernandez , los ge fes de sala D. Josef Martínez, D. Antero Henriquez Calderón, I&gt;. Alejandro Lagoa y D. Manuel de la Cámara: ios gefes de trozo D. Manuel Ferrando , D. Josef Fernandez, D.</t>
  </si>
  <si>
    <t>Fernández, Pedro Antonio</t>
  </si>
  <si>
    <t>Pedro Antonio Fernández</t>
  </si>
  <si>
    <t>ampo, diócesi de Cuenca , para una canongía-de la catedral de Al barrad n, vacante por promoción de Don Pedro Antonio Fernandez á; la dignidad de tesorero de la misma i á Don Miguel Martí y Prats-para un beneficio de la catedral ule Gerona, vacante por fallecimiento de D. Miguel Ros, y por no haber tenido</t>
  </si>
  <si>
    <t>Fernández, Santiago</t>
  </si>
  <si>
    <t>Santiago Fernández</t>
  </si>
  <si>
    <t>yres: para el de capiran de las compañías fixas de artilleros veteranos del departamento de Chile á D. Santiago Fernandez, S. M. conceder grado de teniente coronel de infantería á D. Antonio Correa, capitán de las compañías fixas de artilleros veteranos'del departamento de Lima, y promover á subtenie</t>
  </si>
  <si>
    <t>Fernández, Tomás</t>
  </si>
  <si>
    <t>Tomás Fernández</t>
  </si>
  <si>
    <t>101... Tomas FClnandcz... de Cl.udio•••• Villatranu dc'JosCaballeros.............. ~... ........ 1-791.. Licenc. 56..• Cab.I.O Ventura SalIz......... de Jacinto..... Val</t>
  </si>
  <si>
    <t>Fernández, Ventura</t>
  </si>
  <si>
    <t>Ventura Fernández</t>
  </si>
  <si>
    <t>esos y otro de 150, creación de i.° de enero, núms 100872 y 260426, con el último endoso á favor de D. Ventura Fernandez. Quien supiere de su paradero avisará en Madrid al expresado Fernandez, red de S.Luis, ó en dicha ciudad á D. Gregorio Ortiz, que vive en la plazuela vieja, núm. 14. Quien quisier</t>
  </si>
  <si>
    <t>Fernando, Archiduque</t>
  </si>
  <si>
    <t>Archiduque Fernando</t>
  </si>
  <si>
    <t>casa imperial de Austria. Ayer 24 de Diciembre falleció en esta ciudad, de hidropesía de +&gt;échoy el Archiduque Fernando, tio del Emperador. Nació en r.° de Junio de 1754, y se casó en 15 de Diciembre de 1771 con la Princesa María Beatriz, hija del Duque Hércules ni de Módena, Reggio y Mirándola. El</t>
  </si>
  <si>
    <t>le victoria de Jena. ESPAÑA. &lt; Madrid 6 de Febrero. Con motivo del Fallecimiento de S. A I. y R. el Archiduque Fernando, tío de S. M. el Emperador de Austria, ha resuelto el Rey que la corte sé vista de luto por 7 días, empezando desde hoy viérnes 6 de Febrero. S. M. se ha servido conceder en'el re</t>
  </si>
  <si>
    <t>nes de soberanía sobre las posesiones eqüestres que hay dentro de lós límites de sus estados. :/ El Archiduque Fernando murió sin testar, y ha dexa do un caudal de 8q millones de florines. En dinero parece que tenia un millón de ducados. El exército confederado polaco estará múy pronto en disposici</t>
  </si>
  <si>
    <t>Fernando, Príncipe</t>
  </si>
  <si>
    <t>Príncipe Fernando</t>
  </si>
  <si>
    <t>, que es uno de los ministros que se han retirado. S. A. R. el Príncipe Augusto de Prusia, hijo dél Príncipe Fernando, llegó el dia 11 á esta ciudad de vuelta de su viage á Francia y á Suiza: ; ' Los franceses custodian las bocas del Elba y del Weser , de manera que ninguna embarcación puede entr</t>
  </si>
  <si>
    <t>Ferrando, Manuel</t>
  </si>
  <si>
    <t>Manuel Ferrando</t>
  </si>
  <si>
    <t>y D. Josef Martínez: los gefes de trozo D. Manuel de la Cámara, D. Josef Fernandez, D. Manuel Abad, D. Manuel Ferrando, D. Alexandro Lagoa, D. Sebastian Fernandez de Navarrete, D. Carlos Van-Zoelen, y los caballeros seminaristas D. Luis Berganzá, D. Bonifacio Olivencia, D. Bernabé de Otalora , D.</t>
  </si>
  <si>
    <t>nez, D. Antero Henriquez Calderón, I&gt;. Alejandro Lagoa y D. Manuel de la Cámara: ios gefes de trozo D. Manuel Ferrando , D. Josef Fernandez, D. Carlos Van-Zoelen, D. Sebastian Fernandez de Navarrete y D. Luis Berganza; y los seminaristas D. Pedro Sánchez Pavón, D. Pablo Unda, D. Bonifacio Olivenci</t>
  </si>
  <si>
    <t>Ferrando, Pablo</t>
  </si>
  <si>
    <t>Pablo Ferrando</t>
  </si>
  <si>
    <t>n de Abrana, D. Pedro Cendeja, D. Pablo Unda, el cadete de reales guardias Walonas D. Félix Gilman, D. Pablo Ferrando, cadete del regimiento de infantería de Soria, D. Manuel Entreambasaguas, D. Pedro Sánchez Pavón, D. Joaquín Gaidiano', D. Josef'María Jussué, D. Josef Baquedano, D. Ramón Posada,</t>
  </si>
  <si>
    <t>Pablo Unda, D. Bonifacio Olivencia, D. Bernabé de Otalora, D. Juan de Mazarredo, D. Juan de Arana", D. Pablo Ferrando, cadete del regimiento de infantería de Soria, D. Eugenio de Zuloaga, Don Josef María Jusscé y D. Josef Baqúedano. Ganaron el premio extraordinario de instrucción religiosa los ca</t>
  </si>
  <si>
    <t>Ferrer, Rafael</t>
  </si>
  <si>
    <t>Rafael Ferrer</t>
  </si>
  <si>
    <t>o se parece á ninguno de los conocidos. ESPAÑA. Madrid zg de octubre. S. M. se ha servido nombrar á D. Rafael Ferrer para un beneficio de lá colegial de S. Juan de las Abadesas, diócesi de Vique, baxo la invocación de nuestra señora de Bosch y Cerdá, vacante por fallecimiento de D.Juan Bau tista</t>
  </si>
  <si>
    <t>Ferrer, Tadeo</t>
  </si>
  <si>
    <t>Tadeo Ferrer</t>
  </si>
  <si>
    <t>9 barcos de fuerza de este apostadero , procedente de Santi Petri, al cargo del -teniente de navio D. Tadeo Ferrer , convoyando 13 mercantes, entre ellos uno con víveres, que dexó en Ceuta. En sti navegación batió un bergantín enemigo de 22 cánones* que atacó el convoy la mañana del 2 del corr</t>
  </si>
  <si>
    <t>Ferrr</t>
  </si>
  <si>
    <t>nfantería ligera de voluntarios de Aragón se ha servido S. M. promover á capitán primero al segundo D. Ferrr.in Zueco; á capitanes segundos al teniente D. Josef Espoz y al segundo ayudante D. Vicente Ricafort; á segundo ayudante al teniente, graduado de capitán, D. Pedro Villacampa; á te</t>
  </si>
  <si>
    <t>Fesch, Cardenal</t>
  </si>
  <si>
    <t>Cardenal Fesch</t>
  </si>
  <si>
    <t>or el obispo de Verceíl, se abrió el capítulo, que por indisposición de S. A. presidió el Etno. Sr. Cardenal Fesch, limosnero mayor, con asistencia del abate de Boulogne, capellán de S. M., el qual, en virtud del decreto imperial, hacia de secretario. Después de tres juntas,en que se ventilaro</t>
  </si>
  <si>
    <t>Fialíos, Juan Miguel</t>
  </si>
  <si>
    <t>Juan Miguel Fialíos</t>
  </si>
  <si>
    <t>ra la chantría ai maestrescuela D. Juan Francisco Márquez, y para esta resulta al canónigo doctoral D. Juan Miguel Fialíos: para la dignidad de tesorerp de la misma catedral, vacante por muer</t>
  </si>
  <si>
    <t>Fidaigo, Joaquín</t>
  </si>
  <si>
    <t>Joaquín Fidaigo</t>
  </si>
  <si>
    <t>oro Sacristán. S. M. se ha servido conferir el gobierno militar y político de la plaza del Ferrol á D. Joaquín Fidaigo, capitán de navio de la real armada. Ei Rey se ha servido nombrar para la vara de alcalde mayor de la ciudad de Jaca, de segunda clase, á D. Domingo Francisco Fernandez; y para ot</t>
  </si>
  <si>
    <t>Fidel Iserne</t>
  </si>
  <si>
    <t>946 feranza, su capitán D. Fidel Iserne: conduce á su bordo 663 fanegas de cacao de Caracas y 183 zurrones de añil flor. En su travesía le dieron caza varios buques enemigos , de los que pudo librares por su mucho andar</t>
  </si>
  <si>
    <t>Figueroa, Antonio</t>
  </si>
  <si>
    <t>Antonio Figueroa</t>
  </si>
  <si>
    <t>ta al teniente coronel D. Ignacio de Acosta, del del Príncipe: la que este dexa al teniente coronel D. Antonio Figueroa, del de Atarés; y esta resulta á D. Ignacio Caro, capitán agregado al regimiento de infantería de la Havana. S. M. se ha dignado conceder ayudantía en el batallón fixo de Goatemaí</t>
  </si>
  <si>
    <t>Filangieri, Antonio</t>
  </si>
  <si>
    <t>Antonio Filangieri</t>
  </si>
  <si>
    <t>niente general D. Antonio Filangieri con dos piezas de artillería de batalla y dos de á caballo, en sus flancos de derecha é izquierda. Llegó á esta iglesia el limo. Sr. Obispo á las io de la mañana acompañado del ca</t>
  </si>
  <si>
    <t>Flaugergues</t>
  </si>
  <si>
    <t>ad. La academia de ciencias, bellas letras y artes de León, en su última sesión pública, adjudicó á Mr. Flaugergues, individuo correspondiente del instituto, y vecino de Viviers, el premio señalado para el autor de la mejor memoria sobre la qüestion siguiente: „ Determinar per medio de la exper</t>
  </si>
  <si>
    <t>Flor, Manuel</t>
  </si>
  <si>
    <t>Manuel Flor</t>
  </si>
  <si>
    <t>D. Rafael Tenorio y ¡Herrera, D. Francisco de las Casas VD. Tomas Salazar, Don Mariano..Fernandez^. D. Manuel Flor an.es y D. Josef González dei Valle fueron exáminados.de aritmética, álgebra, geometría y trigonometría plana, y premiados cada uno de ellos con un exemplar de los elementos de ge</t>
  </si>
  <si>
    <t>FlorezVillamil, Juan Francisco</t>
  </si>
  <si>
    <t>Juan Francisco FlorezVillamil</t>
  </si>
  <si>
    <t>z Lago, racionero de la misma: para otra canongía de la catedral de Palencia, vacante por muerte de D. Juan Francisco FlorezVillamil, á D. Jacinto García Lozano, cura párroco de la villa de Velamazín, en el obispado de Sigüenza: para otra canongía de la catedral de Mallorca á D. Sebastian Socias de Fangar, cape</t>
  </si>
  <si>
    <t>Fnlgencio Rubín de Celis</t>
  </si>
  <si>
    <t>Francisco Izco y Cortés; y para la fiscalía del crimen de la audiencia de Sevilla, por renuncia de Don Fnlgencio Rubín de Celis, á D. Miguel Gómez García, en consideración al mérito que ha contraido en la persecución de malhechores y contrabandistas. JEn atención á los dilatados y apreciables servicios del</t>
  </si>
  <si>
    <t>Fonseca, Joaquín</t>
  </si>
  <si>
    <t>Joaquín Fonseca</t>
  </si>
  <si>
    <t>r empleos de Alférez en los regimientos de caballería de la Reyna y Príncipe á los Portaestandartes D. Joaquín Fonseca, D. Miguel Mauduit y D. Antonio Barrera: en el de Farnesio compañía al Ayudante, graduado de Capitán, D. Miguel Cherif, y Tenencia al Alférez É). Juan Rubio: en el de Alcántara co</t>
  </si>
  <si>
    <t>Font, Miguel</t>
  </si>
  <si>
    <t>Miguel Font</t>
  </si>
  <si>
    <t>Agíistiu Diibóys ; áSubrigadieral Cadete D. Franciséó Vígtféufpá Cadete dé número al supernumerario D. Miguel Font, y á supernumerario al guardia D. Adriano Casaignau. _ _ S. M. ha nombrado Ayudante de la división de granaderos provinciales de Castilla la Vieja*al Gapitanr D&gt;; Josef de lá Cruz</t>
  </si>
  <si>
    <t>Fontaine</t>
  </si>
  <si>
    <t>do del Rey de Westfalia fue á visitar las obras del Loúvre, y conversó largo rato con el arquitecto Mr. Fontaine, haciéndole varias preguntas y observaciones relativas á las obras que están construyéndose. Desde allí pasó S. M. 1. á reconocer las obras concluidas en la Bastilla durante su au</t>
  </si>
  <si>
    <t>Fontanes</t>
  </si>
  <si>
    <t>de ancianos guerreros, de mugeres y de jóvenes conscriptos, y acabó por un coro general del pueblo. Mr. Fontanes, presidente del cuerpo legislativo, pronunció un discurso análogo á esta solemnidad. ESPAÑA. Madrid a de junio. El sábado de la semana anterior, dias del principe de Asturias nues</t>
  </si>
  <si>
    <t>de Ourcq. El cuerpo legislativo ha recibido un mensage de S. M., en que nombra por su presidente á Mr. Fontanes. S. M. I. fue el dia 16 cou el ceremonial acostumbrado al palacio del cuerpo legislativo para hacer la abertura de la sesión. S. A. S. el Príncipe vice-gran elector obtuvo permiso</t>
  </si>
  <si>
    <t>istros y ge fes de palacio, dió audiencia á una diputación del cuerpo legislativo, cuyo presidente, Mr. Fontanes, cumplimentó á S. M. á nombre del cuerpo. En seguida fue admitida</t>
  </si>
  <si>
    <t>Fontcuberta, Manuel</t>
  </si>
  <si>
    <t>Manuel Fontcuberta</t>
  </si>
  <si>
    <t>gundo batallón de voluntarios de Cataluña se ba servido S. M. promover á capitán primero al segundo D. Manuel Fontcuberta. El Rey se ha servido promover á oficial tercero primero déla secretaría de Estado y del despacho universal de hacienda de Indias, vacante por fallecimiento de D. Pedro Antonio de</t>
  </si>
  <si>
    <t>Fonte, Benito</t>
  </si>
  <si>
    <t>Benito Fonte</t>
  </si>
  <si>
    <t>a para un beneñcio de la parroquial de Alcalá de Chibert, diócesi de Tortosa, vacante por muerte de D. Benito Fonte: á D. Francisco Gali para un beneñcio residencial de la catedral de Urgel, vacante por ascenso de D. Antonio Vilana á canongía de la colegiata de Guisona, en aquella diócesi: á D.</t>
  </si>
  <si>
    <t>Forfait</t>
  </si>
  <si>
    <t>subsistían para el entero cumplimiento del tratado de Presburgo. Ha muerto en Rúan el 9 de este mes Mr. Forfait, ministro que file de la marina. Escriben de Francfort que el célebre Juan Müller, autor de'la acreditada historia de la Suiza, ha pasado por aquella ciudad para Paris&gt; adonde le</t>
  </si>
  <si>
    <t>Forner, Juan Pablo</t>
  </si>
  <si>
    <t>Juan Pablo Forner</t>
  </si>
  <si>
    <t>Noticia de las aguas minerales de la fuente de Solan de cabras, en la aterra dc Qicaca, escrita por D. Juan Pablo Forner: un tomo en 4.0 mayor con una lámina. Se hallarán en Ja librería de Cerro, calle de las Carretas. GRABADO. Nuevo retrato del Serenísimo Se fío r Príncipe de la Paz, Generalísimo A</t>
  </si>
  <si>
    <t>Forster, Capitán</t>
  </si>
  <si>
    <t>Capitán Forster</t>
  </si>
  <si>
    <t>-En las Gazetas de esta ciudad se ha publicado el articuló siguient ,, Bés-ton /y de Noviembre. El Capitán Forster llego aquí el sábado pasado procedente dé la Trinidad, en 2 f días, y dice que 3 dias antes de su salida habia: llegado á aquella isla un cierto Mr. Taylor (que fue en' la expedic</t>
  </si>
  <si>
    <t>Foster</t>
  </si>
  <si>
    <t>calles de Dublin. i®,ooo Para los gastos de las elecciones de Irlanda........................ 3,408 Mr. Foster pidió que se concediesen 13© libras, moneda de Irlanda, para los gastos de los seminarios católicos de aquella isla: igual suma y para el mismo objeto se concedió el año pasado. L</t>
  </si>
  <si>
    <t>Fox</t>
  </si>
  <si>
    <t>ipotenciario, que habia entablado la negociación, y la habia continuado siguiendo los principios de Mr. Fox, esto es , franca y sinceramente, pesaroso del nuevo aspecto que tomaban las conferencias desde que se vio el Gabinete Británico líbre del influxo de Mr. Fox, solicitó y alcanzó s</t>
  </si>
  <si>
    <t>... ' \; * -kótáí Los documentos qué ácabámós de copiar, y la continuación de la correspondencia de Mr. Fox, prueban dos cosas: i.° que la Francia no dio los primeros pasos para entablar negociaciones: 2.® que miéntras ha vivido Mr. Fox ha sido franca la correspondencia. Luego que este</t>
  </si>
  <si>
    <t>los Ministros. Voy á exáminar algunos de sus puntos. Sé, á no poder dudarlo, qile mi ilustre amigo Mr. Fox,quando escribió la carta por donde empezáron los tratados con Francia, no tuvo en esto mas</t>
  </si>
  <si>
    <t>del gobierno francés del asesinato que se meditaba contra su persona. Pero q-uantos han conocido á Mr. Fox saben muy bien que siempre fué partidario !de la paz ; y si su carta pudo inspirar la idea de ajustar un tratado honroso y una pacificación duradera, ¿por qué no hemos de reconoce</t>
  </si>
  <si>
    <t>ló modo de insertar el elogio de Mr. Pitt, de su sucesor Mr. Addington, hoy dia lord Sydmouth, y de Mr. Fox. Ostentando, como es costumbre, grandes deseos de paz, pretendió que la nación se halla en estado de sostener la guerra todavía muchos años, sin' aumentar las cargas de que está g</t>
  </si>
  <si>
    <t>de Gales permanece adicto al partido de los ministros exonerados, y á los principios y opiniones de Mr. Fox. Se dice que van á mudarse todos los enviados que tenemos en las cor— tes extrangeras. ITALIA. Florencia 7 de marzo. Los tesaros científicos recogidos por los cuidados del emperad</t>
  </si>
  <si>
    <t>a librería de Ranz, calle de la Cruz. x Discurso político dirigido al parlamento ingles á nombre de Mr. Fox: en él se manifiestan los infaustos sucesos de una guerra inoportuna y caprichosa, y sus fatales conseqiiencias. Véndese en las librerías de Bengoechea, calle de las Carretas, y d</t>
  </si>
  <si>
    <t>estrecho, é ir á Ccnstantinopla, i todas las embarcaciones cargadas de víveres___ El general ingles Mr. Fox se dispone á evacuar enteramente la Sicilia, y á embarcarse con todas sus tropas p2ra Egipto, donde les ingleses se hallan, según se dice, en situación muy apurada. FRANCIA. París</t>
  </si>
  <si>
    <t>a un mes sin que Petion se viese obligado á abandonar la isla. El epitafio puesto por los amigos de Mr. Fox en su sepulcro de Westminster no contiene mas que su nombre: Carlos Jacobo Fox. La esquadra con que el almirante Coliingwood ha salido de Malta para los Dardanelos se compone de los</t>
  </si>
  <si>
    <t>Fox, Carlos</t>
  </si>
  <si>
    <t>Carlos Fox</t>
  </si>
  <si>
    <t>e de las Carretas, á 80 rs. en rústica y 96 en pasta. Memorias sobre la vida de Carlos Fox, Ministro de Inglaterra, contenidas en la colección periódica de la Minerva: reúne noticias muy curiosas acerca de la vids tanto pública como privada de este célebre ministro. Se hallará á</t>
  </si>
  <si>
    <t>Frahcisco Oviedo</t>
  </si>
  <si>
    <t>y ha promovido á exento de número al supernumerario D. Luis Marquesi; á supernumerario al brigadier D. Frahcisco Oviedo; á.brigadier al subrUadier D. Alexo de Santa María;, á subrigadier al cadete garzón D. Blas Perezá. cadete^ de número al su</t>
  </si>
  <si>
    <t>Fran</t>
  </si>
  <si>
    <t>ros ; á Ayudante mayor al Teniente D. Antonio Gayarre; á Tenientes de granaderos i Jos de fusileros D. Fran.isco Guerrero, D. Juan Mier y Teran y D. Luis_ Ferriet; á Tenienres al Subteniente de fulleros D. Vicente Borges, y los de granaderos D. Francisco Perez..y Muro, D. Matías Cervera</t>
  </si>
  <si>
    <t>Francis</t>
  </si>
  <si>
    <t>istinguido D. Francisco Mancebo, y aí‘ Sargento del Regimiento de infantería de la Corona de México D. Francis-&lt; co Castro. En el Batallón fixó de Panamá se ha servido S. M. promover á Capitán al Ayudante D. Nicolás Remen; á esta resulta al Teniente de granaderos D. Baltasar de Ayala; á Ten</t>
  </si>
  <si>
    <t>Francis-Drake</t>
  </si>
  <si>
    <t>dia 23 de noviembre, estando á la altura dé la isla del Engano, se me incorporó el r navio de S. M. Sir Francis-Drake, con el qual y con los navios Culloden, Poderoso, Russcll y Belicoso, y las fragatas Terpsícore y Fiar marina, emboqué el estrecho de la Sonda. Ei 26 apresé á la altura de Bantam</t>
  </si>
  <si>
    <t>Francisca de Taranco y Parada, María</t>
  </si>
  <si>
    <t>María Francisca de Taranco y Parada</t>
  </si>
  <si>
    <t>. Doña María Mercedes de Parada , su viuda, como madre, tutora y curadora de la persona y bienes de Dona María Francisca de Taranco y Parada, habida en su primer matrimonio con el Sr. D. Pedro Prudencio de Taranco, del consejo que asimismo fue de S. M. en el supremo de Castilla, se ha solicitado el pago de ciertas cant</t>
  </si>
  <si>
    <t>a. Doña María Mercedes de Parada,su viuda , como madre, tutora y curadora de la persona y bienes de Doña María Francisca de Taranco y Parada, habida en su primer matrimonio: con el Sr. D. Pedro Prudencio de Taranco ¿ del consejo que asimismo fue de S. M. en el supfetno de Castilla, se ha solicitado el pago de ciertas c</t>
  </si>
  <si>
    <t>a. Doña María Mercedes de Parada, su viuda, como madre, tutora y curadora de la persona y bienes de Doña María Francisca de Taranco y Parada, habida en su primer matrimonio con el Sr. D. Pedro Prudencio de Taranco, del consejo que asimismo fue de S. M. en el supremo de Castilla, se ha solicitado el pago de ciertas cant</t>
  </si>
  <si>
    <t>Francisca de Tsranco y Parada, María</t>
  </si>
  <si>
    <t>María Francisca de Tsranco y Parada</t>
  </si>
  <si>
    <t>de Dona María Francisca de Tsranco y Parada, habida en su primer matrimonio con e3 Sr. D. Pedro Prudencio de Taranco , del consejo que asimismo fue de S. M. en el supremo de Castilla, se ha solicitado el pago de ciertas can</t>
  </si>
  <si>
    <t>Francisca del Castillo</t>
  </si>
  <si>
    <t>vadas doce cartas con cubiertas á Don Miguel Ramírez, Doña Micaela Pini, D. Juan Antonio Gutiérrez, Doña Francisca del Castillo, Manuela Martínez, Doña Rosa de Udías y del Castro, D. Juan María Noriega, Doña María Catania Vallarina de Arenzano, D. ManueL de Ortega, D. Agustín Ximenez y D. Antonio Ccvallcs;</t>
  </si>
  <si>
    <t>Francisca Huet</t>
  </si>
  <si>
    <t>ñ los exemplos de primera excepción de la Señora Doña Josefa Morales, Gobernadora de Montevideo , y Doña Francisca Huet,, digna esposa del Sargento Mayor y Coman</t>
  </si>
  <si>
    <t>Francisca Xavier</t>
  </si>
  <si>
    <t>que su remate., habiendo postores,* está: señalado para él día 1$ del corriente. Por providencia de D. Francisca Xavier deUriorlua, comisionado regia para la venta de bienes eclesiásticos en la diócesi/de Cádiz, se han sef.ak-do ios dias 15 7*16 del corriéi te 'para: li;s remates de las fincas siguien</t>
  </si>
  <si>
    <t>Francisco Bartolomé</t>
  </si>
  <si>
    <t>os t ayudantías en el de las Ordenes Militares, y en el de Voluntarios de la Corona á los tenientes D. Francisco Bartolomé y D. Juan del Campillo, el primero graduado de capitán; y subtenencia de bandera en. el de la Rey na al sargento primero D. Antonio López*</t>
  </si>
  <si>
    <t>Francisco Xavier</t>
  </si>
  <si>
    <t>e muy pronto y antes de tiempo fuera dei laberinto.’' ' ; . VENTAS JUDíCIAIES. r Por providencia de D. Francisco Xavier.Uriortuíi, juez comisionado regio pa-ra la venta»de. bienes eclesiásticos en la dió-íesi de!Cádiz, se han -señalado los dias Jg y 14 del presente (para el remate de las fincas sig</t>
  </si>
  <si>
    <t>Francisco-Sartolo</t>
  </si>
  <si>
    <t>Don Lorenzo Marco para un beneficio'de la parroquial de Santiago de Zaragoza, vacante por muerte de D. Francisco-Sartolo: á D. Pedro Domínguez Ruiz, cura de la"villa de Ólmedilla del,Campo, diócesi de Cuenca , para una canongía-de la catedral de Al barrad n, vacante por promoción de Don Pedro Antoni</t>
  </si>
  <si>
    <t>FranciscoCarlá</t>
  </si>
  <si>
    <t>nturri para la canongía llamada Sacristía, de la misma colegial de Castellvo, vacante por muerte de D. FranciscoCarlá. S. M. se ha servido conceder gTado de coronel de infantería á los tenientes coroneles del real cuerpo de Ingenieros del exército D. Fernando de Gabriel y D. Juan Ordobas. En Amér</t>
  </si>
  <si>
    <t>Franciséó Vígtféufpá Cadete</t>
  </si>
  <si>
    <t>. Maximino ;Wandetstéeñe'; á Brl4 gádier al SUbfigaSiér D; Agíistiu Diibóys ; áSubrigadieral Cadete D. Franciséó Vígtféufpá Cadete dé número al supernumerario D. Miguel Font, y á supernumerario al guardia D. Adriano Casaignau. _ _ S. M. ha nombrado Ayudante de la división de granaderos provinciales de Castilla l</t>
  </si>
  <si>
    <t>Franckland</t>
  </si>
  <si>
    <t>partidarios han defendido con calor el antiguo sistema, oponiéndose al nuevo plan de los ministros. Mr. Franckland se quejó de que se quería introducir en el bilí presentado á la cámara, y de una manera inesperada y casi furtivamen</t>
  </si>
  <si>
    <t>ados y de oficiales, procurando cada uno distihguirse á exemplo de los anteriores/' En seguida citó Mr. Franckland un pasage de Blakstones, en que hablando de la defensa constitucional de un pais libre, dice que consiste en la reunión de los dos estados de soldado y de ciudadano. ,, Las tropas</t>
  </si>
  <si>
    <t>Franques, Cayetano</t>
  </si>
  <si>
    <t>Cayetano Franques</t>
  </si>
  <si>
    <t>ar, Doña Josefa Zurariain,D.Francisco del Valle, D. Francisco Fernandez de Villa, D. Estéban Beulf, D. Cayetano Franques, D. Pascual &lt;Gisbert,T&gt;. Andrés de A yala,D.Félix deRivas, las memorias deVargas y Doña Leonor Perez de Arraciel, á quienes les está comunicado traslado de lo alegado por D Miguel</t>
  </si>
  <si>
    <t>Fraser, Alexandro</t>
  </si>
  <si>
    <t>Alexandro Fraser</t>
  </si>
  <si>
    <t>liegos cuyo contenido se ignoraba: mas ya se sabe que han sido relativos al bloqueo de este puerto. Mr. Alexandro Fraser, comandante de la fragata inglesa Vanguarda ha escrito al cónsul de Suecia Mr. Edward Gram una carta concebida en estos términos: „He recibido la carta de V. del 2 de noviembre,y</t>
  </si>
  <si>
    <t>Frauqois de Neufchateau</t>
  </si>
  <si>
    <t>mi persona.” La clase de la lengua y literatura francesa celebró el dia 26 junta pública, en la que Mr. Frauqois de Neufchateau leyó el elogio del último duque de Nivernois. Mr. Delilie leyó igualmente algunos retazos de dos poemas que está trabajando. El abate Sicard presidió la junta, que fu© muy concurr</t>
  </si>
  <si>
    <t>Fraxno y Díaz, Miguel</t>
  </si>
  <si>
    <t>Miguel Fraxno y Díaz</t>
  </si>
  <si>
    <t>undo ayudante al teniente, graduado de capitán, D. Pedro Villacampa; á tenientes á los subtenientes D. Miguel Fraxno y Díaz y D. Juan Fraxno y Diaz, y i subtenientes á los cadetes D. Manuel Latre y D. Francisco Sánchez Muñoz y Amat. En el regimiento de caballería del Príncipe se ha servido S. M. conceder e</t>
  </si>
  <si>
    <t>Frayle, Andrés</t>
  </si>
  <si>
    <t>Andrés Frayle</t>
  </si>
  <si>
    <t>ez de la Peña y S. Miguel. En Barcelona....... D. Ramón de Llordella é hijo. En Burgos............. D. Andrés Frayle. En Cádiz............... D. Benito de la Piedra. • En Cartagena....... D. Bernardo Elizalde. En Ciudad-Real.. D. Ramón Antonio Pico. En Córdoba........... Sres. Barcia padre é hij</t>
  </si>
  <si>
    <t>dez de la Peña y S. Miguel* En Barcelona...... . D. Ramón de Llordelia é hijo. En Burgos........... D. Andrés Frayle. En Cádiz.............. D. Benito de la Piedra. En Cartagena....... D. Bernardo Elizalde. En Ciudad-Real.. D. Ramón Antonio Pico. En Córdoba,.,...,... Sres. Barcia padre é hijo. E</t>
  </si>
  <si>
    <t>dez' de la Peña y S. Miguela En. Barcelona....... D. Ramón de Llordella é hijo.En Burgos........... D. Andrés Frayle: En Cádiz...............D. Benito de la Piedra. En Cartagena....... D;- Bernardo Elizalde.En Ciudad-Re al.. D- Ramón Antonio Pico. En Córdoba.......... Sres. Barcia padre é hijo.E</t>
  </si>
  <si>
    <t>Frere</t>
  </si>
  <si>
    <t>rios: lejos de ello parece seguro que continuará mandando en gefe fcuestras tropas en aquella isla. Mr. Frere, último ministro de S. M. en la corte de Esfpaña, ba sido nombrado ministro plenipotenciario en la de Prusiaen Iqgajr del lord Hutr</t>
  </si>
  <si>
    <t>Fromista, Juan</t>
  </si>
  <si>
    <t>Juan Fromista</t>
  </si>
  <si>
    <t>II Don Juan Fromista, y á Subtenientes de bandera á los Cadetes D. Juan Nepomuceno Paredes y D. Josef María Matos. En el Regimiento de Milicias disciplinadas de infantería de Sta. Marta se ha servido</t>
  </si>
  <si>
    <t>Fromy, Capitán</t>
  </si>
  <si>
    <t>Capitán Fromy</t>
  </si>
  <si>
    <t>do un buque ingles procedente de la Barbada.__ El corsario el General Perignon, deí jpiismo puerto, Capitán Fromy, ha entrado después de 30 días de crucero ;con las 3 presas inglesas Patcn, TJtfity y Entreprise. Las fragatas Tnetis y la corbeta Silphe han llegado de la Martinica ó l’Orient el</t>
  </si>
  <si>
    <t>Frutos, Agustín</t>
  </si>
  <si>
    <t>Agustín Frutos</t>
  </si>
  <si>
    <t>de curar. En cumplimiento pues de dhha providencia la han verificado D. Antonio Dámaso Torrecilla, D. Agustín Frutos y D. Josef Valero; el primero, médico de número de los mismos hospitales, y catedrático por S. M.; el segundo, cirujano de número de ellos, y demostrador público; y el tercero, doctor</t>
  </si>
  <si>
    <t>Fuentes, Juan</t>
  </si>
  <si>
    <t>Juan Fuentes</t>
  </si>
  <si>
    <t>xecuten en adelante te verificarán sin el mencr requisito. Hace como 2 meses que se ha desaparecido D. Juan Fuentes, músico de la catedral de Badajoz, de edad de 24 años, estatura regular, grueso de cara, con una berruga en la nariz; padecía algo de demencia. Quien supiere de su paradero se ser</t>
  </si>
  <si>
    <t>de diciembre próximo, en que se proveerá la plaza. Hace'como dos meses que con motivo de la fuga de D. Juan Fuentes, músico de la catedral de Badajoz, se ha ausentado también su hermana Doña-María Concepción, cuyas senas son; color trigueño, y dos señales en el carrillo derecho , y se halla emb</t>
  </si>
  <si>
    <t>Fulton</t>
  </si>
  <si>
    <t>a tenían enviados áHaiirax, acababan de coger otros dos ricamente cargados que venían de las islas. Mr. Fulton había ofrecido hacer en este puerto un ensayo de la máquina submarina, de su invención, para destruir el baxel que se quiera. Con efecto,se ha verificado el ensayo el 26 de este m</t>
  </si>
  <si>
    <t>e que vengan á atacarnos las esquadras inglesas; antes al contrario, el buen éxito de la máquina de Mr. Fulton nos da una superioridad tan decidida sobre sus navios, que creemos no se atrevan á entrar en la rada, donde se ha hecho el ensayo de dicha máquina. y Se asegura que el gobierno ha</t>
  </si>
  <si>
    <t>Furcosindo y Fuenparaiso, Juan</t>
  </si>
  <si>
    <t>Juan Furcosindo y Fuenparaiso</t>
  </si>
  <si>
    <t>ontinuo ó intermitente, pues á veces lo primero es preferible---- Las cartas se dirigirán francas á D. Juan Furcosindo y Fuenparaiso, cálle del Olivo alto, núm. 17, quarto 2.0 VEMTAS JUDICIALES. En virtud de decreto de los señores de la comisión gubernativa, de 12 del corriente, se ha mandado que por el perento</t>
  </si>
  <si>
    <t>Furriel, Marcos</t>
  </si>
  <si>
    <t>Marcos Furriel</t>
  </si>
  <si>
    <t>ez, y subtenencias de bandera al cadete D. Juan Pablo Demblans, y al sargento primero de granaderos D. Marcos Furriel. En atención á los méritos y* circunstancias de D. Josef María Puig, ministro del consejo, y honorario de la cámara, se ha servido el Rey concederle phza de ministro de la junta g</t>
  </si>
  <si>
    <t>Fusell, Joaquín</t>
  </si>
  <si>
    <t>Joaquín Fusell</t>
  </si>
  <si>
    <t>ñas del mismo colegio. Cedieron la parte pecuniaria del premio D. Josef Escriba, D. Andrés del Val, D. Joaquín Fusell, D. Manuel Croselles, D. Juan Ribera Colechá, Doña María Vecino, Doña Manuela Taraneo, Doña Rafaela Bordenove y Doña Franca Ximenez. Continuóse publicando la adjudicación de .6 pr</t>
  </si>
  <si>
    <t>Füsell, Joaquín</t>
  </si>
  <si>
    <t>Joaquín Füsell</t>
  </si>
  <si>
    <t>cia , comisionado por dicho Seminario y por la sociedad económica de aquella ciudad, en compañía de D. Joaquín Füsell, individuo del mismo cuerpo; D. Melchor Andario, del gremio y claustro de la universidad de Cervera; D. Ramón Sarrais, médico y doctor en cirugía; D. Eugenio Aravaca, médico; D. T</t>
  </si>
  <si>
    <t>Ga, Cayetano Gabriel</t>
  </si>
  <si>
    <t>Cayetano Gabriel Ga</t>
  </si>
  <si>
    <t>la, en el mismo Obispado, la que salió de dicho pueblo hace mas de un año, se servirá comunicarlo a D. Cayetano Gabriel Ga-' liego y Martínez, Prebendado de la Catedral de Sigíienza, ó en esta Corte á Don Pascual Igualador , calle de Májaderitos ancha, frente á la imprenta, quarto 2.0 Los subscriptores</t>
  </si>
  <si>
    <t>Gadogan</t>
  </si>
  <si>
    <t>nte á Portsmouth, trae á Inglaterra algunos de los oficiales heridos en Buenos-Ayres, entre otros á Mr. Gadogan, coronel del régimiento 18.0 Todos los pasageros convienen en que nuestra derrota fue completa, y que jamas se ha firmado un convenio tan vergonzoso para el exército ingles como e</t>
  </si>
  <si>
    <t>Gaibga, Vicente</t>
  </si>
  <si>
    <t>Vicente Gaibga</t>
  </si>
  <si>
    <t>ra la canongía penitenciaria-de ía catedral de VaSlaiolid de Mechoacan, vacante por‘lallécimieotode D. Vicente Gaibga, á D. Manuel Abad yQueypo, sacristán mayor de la ciudad de Guanajuato: para la doctoral de la metropolitana de Caracas^* que vacó por muerte de D. Juan Rafael Rodríguez ,.á D. Dom</t>
  </si>
  <si>
    <t>Gaidiano, Joaquín</t>
  </si>
  <si>
    <t>Joaquín Gaidiano</t>
  </si>
  <si>
    <t>o, cadete del regimiento de infantería de Soria, D. Manuel Entreambasaguas, D. Pedro Sánchez Pavón, D. Joaquín Gaidiano', D. Josef'María Jussué, D. Josef Baquedano, D. Ramón Posada, D. Josef Bretón , Don Eugenio de Zuloaga, D. Vicente Bassoco y D. Manuel de la Torre. Ganaron el premio extraordinario</t>
  </si>
  <si>
    <t>Gaií</t>
  </si>
  <si>
    <t>arán en la librería de Fucntenebro y compañía, calle de las Carretas. Exposición de la doctrina del Dr. Gaií, ó nueva teoría del celebro, considerado como residencia de las facultades intelectuales y morales del alma: un tomo en 8.c Véndese en la librería de Castillo, frente á las gradas</t>
  </si>
  <si>
    <t>Gailardo, Francisco</t>
  </si>
  <si>
    <t>Francisco Gailardo</t>
  </si>
  <si>
    <t>cisco Estrada, guardia de Ccrps de la compañía española; y en el de Farneíie, ayudantía al teniente D. Francisco Gailardo: también se ha servido S. M. conferir compañía en el regimiento de dragones de Almansa al ayudante D. Guillermo Alcober; y en el de Pavía ayudantía al teniente D. Luis Triarte. En</t>
  </si>
  <si>
    <t>Galan, Agustín Alexandro</t>
  </si>
  <si>
    <t>Agustín Alexandro Galan</t>
  </si>
  <si>
    <t>an Félix García, á D. Manuel Ignacio Ipola, racionero dé la misma; y para la ración que este dexa á D. Agustín Alexandro Galan: para una canongía de la colegial de Cervatos, en la diócesi de Burgos, vacante por muerte de D. Juan Antonio Perez de Rávago , á D. Paulino Bravo de Cosío. El Rey se ha servido c</t>
  </si>
  <si>
    <t>Galan, Francisco</t>
  </si>
  <si>
    <t>Francisco Galan</t>
  </si>
  <si>
    <t>f Aguirre, vecino de Laredo, D. Lorenzo Ilisarri, de Toledo, y de Colmenar D. Juan Francisco Velez, D. Francisco Galan, Francisco González, y otros diferentes vecinos, á quienes con esta misma expresión declaró el concursante. Se desea saber quienes sean los herederos de Serafín Cremonesi y Franci</t>
  </si>
  <si>
    <t>Galban, Jorge</t>
  </si>
  <si>
    <t>Jorge Galban</t>
  </si>
  <si>
    <t>9l9 reynato de Nueva-España á D. Jorge Galban, coronel del regimiento de infantería de Murcia. DISTRIBUCION DE PREMIOS EN EL REAL JARDIN BOTANICO DE MADRID. Conociendo el Rey que en unos países tan favorecidos de la naturalez</t>
  </si>
  <si>
    <t>Gali, Francisco</t>
  </si>
  <si>
    <t>Francisco Gali</t>
  </si>
  <si>
    <t>de la parroquial de Alcalá de Chibert, diócesi de Tortosa, vacante por muerte de D. Benito Fonte: á D. Francisco Gali para un beneñcio residencial de la catedral de Urgel, vacante por ascenso de D. Antonio Vilana á canongía de la colegiata de Guisona, en aquella diócesi: á D. Francisco Guardia pa</t>
  </si>
  <si>
    <t>Galiano, Antonio</t>
  </si>
  <si>
    <t>Antonio Galiano</t>
  </si>
  <si>
    <t>l Tribunal delConsuIado de Cádiz, se cita y emplaza á todos los que sean acreedores ¡al concurso de D. Antonio Galiano, para que en el término de 8 meses acudan á formalizarlo con documentes que lo comprueben; previniendo que cumplido dicho término, las fianzas que se hubiesen dado para los repart</t>
  </si>
  <si>
    <t>Galiano, Ramón</t>
  </si>
  <si>
    <t>Ramón Galiano</t>
  </si>
  <si>
    <t>sío. El Rey se ha servido conceder en el regimiento de infantería de Zamora tenencia al subteniente D. Ramón Galiano, y subtenencia de bandera al cadete D. Antonio Nícolau: en el de Zaragoza subtenencia de bandera al sargento primero de granaderos D. Pedro Dupont; y en el batallón de voluntarios</t>
  </si>
  <si>
    <t>Gall</t>
  </si>
  <si>
    <t>167 Carlsruhe 8 de enero. El Dr. Gall concluyó el 31 de diciembre último en Ratisbona la explicación de los descubrimientos que ha hecho sobre la extructura del celebro , sobre los órganos y sobre los cráneos. El gran</t>
  </si>
  <si>
    <t>n contribuido con la mayor generosidad para el alivio de los necesitados. Escriben de Zurich que el Dr. Gall ha dado allí lecciones de cráneoscopia á un concurso de 60 oyentes. Después ha pasado á Berna; en seguida irá á ^asilea, y luego piensa hacer un viage á Rusia. Bayona ti de setiem</t>
  </si>
  <si>
    <t>dias pasados, de edad de 81 años, en su casa de Ravasteins en el departamento del Tarn. El célebre Dr. Gall ha llegado á París. De Hamburgo escriben que se han embargado todos los buques porta* gueses que se hallaban en el puerto de aquella ciudad.</t>
  </si>
  <si>
    <t>e se hallen en los puertos de f ■rancia.” La junta de. gobierno del Ateneo de París ha convidado al Dr. Gall para que asista á sus juntas, concurriendo con los demas profesores célebres que propagan en él la .afición á los conocimientos útiles. Este sabio se ha ofrecido gustosamente á de</t>
  </si>
  <si>
    <t>olvió la esquadra genovesa del sitio de Chioggia. Antes de ayer en la casa del departamento hizo el Dr. Gall su p* imer discurso sobre la anatomía del celebro, á presencia de la sociedad de medicina de París. los concurrentes aplaudieron los nuevos conocimientos que manifestó sobre esta</t>
  </si>
  <si>
    <t>Gallano, Gerónimo</t>
  </si>
  <si>
    <t>Gerónimo Gallano</t>
  </si>
  <si>
    <t>tallón de Voluntarios de Valencia se ha servido S. M. promover á primer Ayudante al Capitán segando D. Gerónimo Gallano. El Rey se ha servido conceder empleos de Alférez en los regimientos de caballería de la Reyna y Príncipe á los Portaestandartes D. Joaquín Fonseca, D. Miguel Mauduit y D. Antonio</t>
  </si>
  <si>
    <t>Gallardo Fernández, Francisco</t>
  </si>
  <si>
    <t>Francisco Gallardo Fernández</t>
  </si>
  <si>
    <t>11 y administración, por D. Francisco Gallardo Fernandez, Oficial de la Secretaría de Hsrado y del Despacho universal de Hacienda de España, del Consejo de S.M.¿ su Secretario con exercicio de decretos: tomo 5.®, al que acompaña un pron</t>
  </si>
  <si>
    <t>Gallardo, Francisco</t>
  </si>
  <si>
    <t>Francisco Gallardo</t>
  </si>
  <si>
    <t>188, 206702 y 211866. Quien supiere de su paradero , se servirá avisar en la ciudad de Valladolid á D. Francisco Gallardo, procurador de aquella real chanciHería; en Palencia á su dueño el citado D. Juan Manuel Sangrador; y en esta corte á D. Manuel Angei Carranclo, caile de Bordadores, nám. 1, quart</t>
  </si>
  <si>
    <t>Gallego y Juan Antonio Várela, Andrés</t>
  </si>
  <si>
    <t>Andrés Gallego y Juan Antonio Várela</t>
  </si>
  <si>
    <t>promover á comisarios de guerra y de artillería á los comisarios de artillería honorarios de guerra D. Andrés Gallego y Don Juan Antonio Várela: i comisarios de artillería honorarios.de guerra á los guarda-almacenes ordinarios D. Josef Luis Mendez y D. Josef Catllar: á guarda-almacenes ordinarios á los extraordinarios D.</t>
  </si>
  <si>
    <t>Gallego, Antonio</t>
  </si>
  <si>
    <t>Antonio Gallego</t>
  </si>
  <si>
    <t>ado de teniente coronel, D. Pedro de Alcántara .T^Hez Girón; y empleos «de portaguión á los cadetes D, Antonio Gallego y D. Antonio Jurada. 1 En América. El rey se ha servido nombrar para la canongía penitenciaria-de ía catedral de VaSlaiolid de Mechoacan, vacante por‘lallécimieotode D. Vicente Gaibga</t>
  </si>
  <si>
    <t>Gallego, Matías</t>
  </si>
  <si>
    <t>Matías Gallego</t>
  </si>
  <si>
    <t>tenencia al subteniente D. Juan Veguer', y subtenencia de bandera al sargento primero de granaderos D. Matías Gallego.: en el batallón de infantería ligera de* voluntarios de Barbastro se ha servido S. M. promover á capitán segundo al segundo ayudante D. Tuan Josef Lostau. S. M. se ha dignado nom</t>
  </si>
  <si>
    <t>Gallisa y Amat, Juan</t>
  </si>
  <si>
    <t>Juan Gallisa y Amat</t>
  </si>
  <si>
    <t>Bernardo Sánchez Hidalgo para la Capellanía real de la colegial de Borja, diócesis de Tarazona; y á D. Juan Gallisa y Amat para el Beneficio residencial de la, villa de Valí, en la diócesis de Tarragona; como también á D. Fernando María Panto ja, del orden de Alcántara y Capellán de honor, para el Pré</t>
  </si>
  <si>
    <t>Galliz-t, Felipe</t>
  </si>
  <si>
    <t>Felipe Galliz-t</t>
  </si>
  <si>
    <t>resento un higrendiómetroyó instrumento para medir la humedad y bondad dél ay re, de su* invención. Don Felipe Galliz-t zioli, profesor de historia natural y deagriculturaen Eaenza!, disertó sobre el modo de conseguir la pronta maceracion del cáñamo, y presentó una muestra de cáñamo macerado eñ a h</t>
  </si>
  <si>
    <t>Galvez, Juan</t>
  </si>
  <si>
    <t>Juan Galvez</t>
  </si>
  <si>
    <t>e de las Carretas. GRABADO. Estampa nueva de S. Juan Bautista en su niñez, inventada y dibuxada por Don Juan Galvez, y grabada por D. Blas Ametller, académico de mérito de la real de S. Fernando: en quartilla de marca mayor. Se hallará'á 8 rs. en el despacho de la calcografía en la imprenta rea</t>
  </si>
  <si>
    <t>Gambier</t>
  </si>
  <si>
    <t>. Lejos de ello va á dar la vela un convoy de. Piimouth para Portugal, para donde ha salido también Mr. Gambier, nombrado cónsul nuestro en Lisboa. HOLANDA. Haya 30 de setiembre. El vice-almirante Decrés, ministro de la Marina y de las colonias de Francia, ha hecho un viage estos dias para</t>
  </si>
  <si>
    <t>Gamero, Juan</t>
  </si>
  <si>
    <t>Juan Gamero</t>
  </si>
  <si>
    <t>, D. Josef Ucles; ayudantía al teniente de granaderos D. Josef Yarza Marín; tenencia al subteniente D. Juan Gamero, y subtenencia de bandera al sargento primero de granaderos D. Juan Caja!; y en el de Hibernia tenencia al subteniente de granaderos D. Pedro Dalesme. Asimismo se ha servido S. M.</t>
  </si>
  <si>
    <t>Gamez, Manuel</t>
  </si>
  <si>
    <t>Manuel Gamez</t>
  </si>
  <si>
    <t>stamo deVnlalgordo del Marques ado, en la diócesi de Cuenca, vacante por haber contraído matrimonio D. Manuel Gamez, á Don Juan de Dios Araiz, mediante no haberse podido realizar el nombramiento que tuvo á bien S. M. hacer en él por real decreto de 28 de febrero de este año para el beneficio si</t>
  </si>
  <si>
    <t>Gandido Lasala</t>
  </si>
  <si>
    <t>bo de quedar prisionero, con el capitán de fragata Don Juan Angel Michelena, los tenientes de navio D. Gandido Lasala, D. Josef Posadas y D. Jacinto Romárate; los de fragata D. Manuel Iglesias, D. Benito Correa, D. Domingo Allende y D. Josef Miranda; los alféreces de navio D. Federico Lados y D.</t>
  </si>
  <si>
    <t>Ganning</t>
  </si>
  <si>
    <t>so Mr. Canning propuso varias reformas y enmiendas en la acción de gracias. Lord Howick respondió á Mr. Ganning de esta suerte : -r -„E1 orador que acaba de hablar ha hecho en su arenga cargos de tal gravedad, que aun quando careciesen de fundamento, bastarían para desautorizar del todo á los Mi</t>
  </si>
  <si>
    <t>Garay, Pedro</t>
  </si>
  <si>
    <t>Pedro Garay</t>
  </si>
  <si>
    <t>cita, llama y emplaza á D. Miguel Perez Girón, D. Simón Perez, D. Pedro de Barcia, Santiago Celada, D. Pedro Garay, D. Isidoro del Castillo, D. Miguel Llaguno, IX Pedro Baranda, JoaquinGuio, Jcsef Mendez, Bartolomé Martin, Pedro Guio, Vívente Crespo, D. Josef García Suelto, Francisco Quintín S</t>
  </si>
  <si>
    <t>Garces y Pérez, Ignacio</t>
  </si>
  <si>
    <t>Ignacio Garces y Pérez</t>
  </si>
  <si>
    <t>anuel Roure— ra para una ración de la catedral de Roda, diócesi de Lérida, vacante por promoción de D. Ignacio Garces y Perez á canongía de la misma catedral. En América. En el regimiento de infantería provincial de Valladolid, en el reyno de Nueva-España, se ha servido S. M. promover á capitán al tenien</t>
  </si>
  <si>
    <t>Garces, Juan</t>
  </si>
  <si>
    <t>Juan Garces</t>
  </si>
  <si>
    <t>ra la dignidad dé' tifies-* trescusla la iglesia metropolitana de Manila, en las islas Filipinas, á D. Juan Garces; para la de tesorero, que este dexa, 4 £&gt;. Sebastian Rodri-*</t>
  </si>
  <si>
    <t>Garci-Martis, Bartolomé</t>
  </si>
  <si>
    <t>Bartolomé Garci-Martis</t>
  </si>
  <si>
    <t>para la canongía de la misma, vacante por muerte del expresado D. Pedro Josef Gallego y Figueroa, á D. Bartolomé Garci-Martis</t>
  </si>
  <si>
    <t>García Alcázar, Juan Francisco</t>
  </si>
  <si>
    <t>Juan Francisco García Alcázar</t>
  </si>
  <si>
    <t>95^ Reyes Nuevos de la catedral de Toledo, vacante por fallecimiento de D. Juan Francisco García Alcázar, á D. Manuel Rodríguez Monge: para el beneficio simple de lá prioral del Puerto de Santa Maiía, diócesi de Sevilla, vacante por muerte del cardenal de Yorck, á D. Fernando Marques</t>
  </si>
  <si>
    <t>García Briugas, Francisco</t>
  </si>
  <si>
    <t>Francisco García Briugas</t>
  </si>
  <si>
    <t>el regimiento de dragones de España, en México, se ha servido el Rey promover á capitán al ayudante D. Francisco García Briugas; á ayudante al teniente D. Pedro Josef Muñoz ; á teniente aí alférez D. Josef Joaquín Paez; á alférez al portaguión D. Pedro Antonio Muñoz; y á portaguión al sargento D. Francisco</t>
  </si>
  <si>
    <t>García de la Huerta, Vicente</t>
  </si>
  <si>
    <t>Vicente García de la Huerta</t>
  </si>
  <si>
    <t>astillo, frente i Jas gradas de S. Felipe, y de Villareal, calle de las Carretas. Obras poéticas de D. Vicente García de la Huerta: segunda edición , que sirve de suplemento á su Teatro español: 2 tomos en 8.c, a 10,rs. cada uno en rústica.. Se hallarán, juntamente con su Teatro español, en. la librería de Vi</t>
  </si>
  <si>
    <t>García de la Madrid, Miguel</t>
  </si>
  <si>
    <t>Miguel García de la Madrid</t>
  </si>
  <si>
    <t>postura á todas ó qualesquíera de dichas tierras acuda ante el referido Sr. Alcalde y escribanía de D. Miguel García de la Madrid'. Por providencia dél' Sr. D. Torquato Antonio Collado, Teniente Corregidor de .esta villa,, se ha mandado sacará pública subasta, por término de 30 dias contados desde 2:2 de Ener</t>
  </si>
  <si>
    <t>quisiere hacerla acuda ante el Sr. D. Mariano Alonso, alcalde de casa y corte, por la escribanía de D. Miguel García de la Madrid. Por providencia del Sr. D. León de Sagasta, teniente corregidor de esta villa, juez de la quiebra hecha por D. Bernardo Solary y compañía, de este ccmc'cio, y escribanía de D. Ra</t>
  </si>
  <si>
    <t>García de Orozco, Francisco</t>
  </si>
  <si>
    <t>Francisco García de Orozco</t>
  </si>
  <si>
    <t>rimero de granaderos D, Cirilo López; y en el segundo batallón de voluntarios de Cataluña al cadete D. Francisco García de Orozco. S. M. se ha servido promover á capitán de granaderos en el regimiento suizo de Traxier al capitán segundo D. Juan Ebneter,y á teniente de granaderos al de fusileros D. Luis Kasly</t>
  </si>
  <si>
    <t>García de Puga, Juan</t>
  </si>
  <si>
    <t>Juan García de Puga</t>
  </si>
  <si>
    <t>alazar, y de bandera á Don Juan Ventura Salazar, también sargento primero^ y al soldado distinguido D. Juan García de Puga. A teniente en el de urbanas de caballería de lea al alférez D. Manuel Santayana. A capitán en el de dragones urbanos de</t>
  </si>
  <si>
    <t>García de Quintana, Francisco Antonio</t>
  </si>
  <si>
    <t>Francisco Antonio García de Quintana</t>
  </si>
  <si>
    <t>ntonio Laureano Cortés y Ú lar te, cura en aquella diócesis. También se ha dignado S. M. conceder á D. Francisco Antonio García de Quintana, asesor de la intendencia de la Ha vana, honores de oidor de la real audiencia de Caracas. En la sala capitular de padres benedictinos de la parroquial de S. Martin de esta corte</t>
  </si>
  <si>
    <t>García del Rio, Manuel</t>
  </si>
  <si>
    <t>Manuel García del Rio</t>
  </si>
  <si>
    <t>re último, se cita, llama y emplaza á qualquiera que se considere con derecho á la testamentaría de D. Manuel García del Rio, individuo que fue del mismo comercio, para que ocurra á deducirlo ante el referido tribunal, con documentos que lo comprueben, dentro del término de 20 meses, por sí ó persona co</t>
  </si>
  <si>
    <t>García Domenech, Joaquín</t>
  </si>
  <si>
    <t>Joaquín García Domenech</t>
  </si>
  <si>
    <t>mánes,Direetor de la real academia de Jurisprudencia práctica, titulada de la Concepción, leído por D. Joaquín García Domenech. Véndese en la librería -de Hurtado, calle de las Carretas. Arte y explicación breve del canto-llano: contiene ademas las antífonas, lamentaciones y responsorios de los 3 dias de</t>
  </si>
  <si>
    <t>García Domenecn, Joaquín</t>
  </si>
  <si>
    <t>Joaquín García Domenecn</t>
  </si>
  <si>
    <t>míbar de mascabado los melocotones y frutas sobrantes de su pueblo. D. Mariano Ubach, en Barcelona. D. Joaquín García Domenecn, en Vinaroz. D. Pedro Borgunio, en Alicante. D. Antonio Díaz, en Paniza, campo de Cariñena. D. Manuel Mancharas, en la Puebla de Montalvan. D. Matías Gregorio de Lomas, en Minglan</t>
  </si>
  <si>
    <t>García Gutiérrez Mellado, Andrés</t>
  </si>
  <si>
    <t>Andrés García Gutiérrez Mellado</t>
  </si>
  <si>
    <t>de D. Domingo Julián Fariza á la dignidad de prior de la catedral de Sigíienza ; para la primera á D. Andrés García Gutiérrez Mellado, y para la segunda á D. Francisco Peraivo y Calero: para una media - ración, vacante en la iglesia catedral de Cuenca, por fallecimiento de D. Joaquín de las Heras, á D. Gerónimo</t>
  </si>
  <si>
    <t>o de la asistencia y curación de aquellos desgraciados dolientes. En la gazeta núm. 37 , donde dice D. Andrés García Gutiérrez Mellado, bórrese el Gutiérrez. SOBRE LOS BOSQUIMANES NACION DE AFRICA. En la biblioteca británica se lee el extracto de un viage publicado últimamente en Londres con el título de Viage aL</t>
  </si>
  <si>
    <t>García Haza, Isidoro</t>
  </si>
  <si>
    <t>Isidoro García Haza</t>
  </si>
  <si>
    <t>viuda de Escolar, Noriéga é hijo. En Granada........ D, Francisco Unzaga. ' ■ .... En Gnadalaxara. D. Isidoro García Haza. ~En Jaén................ D. Pedro y D. Juan Esponera. En León................ D. Gerónimo Gómez.1' , ' : En Malaga.......... D. Juan Xinieno. ;i -: » h = En Makon........... Doña</t>
  </si>
  <si>
    <t>García Lozano, Jacinto</t>
  </si>
  <si>
    <t>Jacinto García Lozano</t>
  </si>
  <si>
    <t>otra canongía de la catedral de Palencia, vacante por muerte de D. Juan Francisco FlorezVillamil, á D. Jacinto García Lozano, cura párroco de la villa de Velamazín, en el obispado de Sigüenza: para otra canongía de la catedral de Mallorca á D. Sebastian Socias de Fangar, capellán de la fábrica de porcel</t>
  </si>
  <si>
    <t>García Malo, Ignacio</t>
  </si>
  <si>
    <t>Ignacio García Malo</t>
  </si>
  <si>
    <t>d: escrita en francés á la mitad del año de 1803 por Pedro Blanchard, y traducida al castellano por D. Ignacio García Malo. El título de esta obra, que consta de .7 tomos en 8.° marquilla, anuncia su utilidad y su objeto: todos pueden sacar fruto de su lectura, porque extractando las vidas de los homb</t>
  </si>
  <si>
    <t>García Márquez, Manuel</t>
  </si>
  <si>
    <t>Manuel García Márquez</t>
  </si>
  <si>
    <t>o Collado» Teniente Corregidor deetta villa, Juez comisionado para el conocimiento de la quiebra de D. Manuel García Márquez , se ha mandado, en cumplimiento de lo decretado últimamente por los Sres. del Consejo, que las personas á quienes cü virtud de auto, del mismo: Supremo tribunal de 23 de diciembr</t>
  </si>
  <si>
    <t>García Otazo, Juan</t>
  </si>
  <si>
    <t>Juan García Otazo</t>
  </si>
  <si>
    <t>rvido conceder ayudantía en los regimientos del Infante y Montesa á los tenientes D. Joaquín López, D. Juan García Otazo y D. Manuel Estébari de Elorduy, este último graduado de capitán. S. M. se ha servido nombrar subtenientes de las compañías fixas de artilleros de guarnición de Santander, Vigo y Ciud</t>
  </si>
  <si>
    <t>García Pinilíos, Pedro</t>
  </si>
  <si>
    <t>Pedro García Pinilíos</t>
  </si>
  <si>
    <t>Gil Fernandez, del consejo de S. M., alcalde de su real casa y corte..1 Hizo la apertura ¿1 dia i.° D. Pedro García Pinilíos con un discurso sobre las utilidades que proporciona al estado la buena educación, y se concluyó con un diálogo sobre la riqueza de la lengua castellana, edades ó épocas que ha te</t>
  </si>
  <si>
    <t>García Plaza, Isidoro</t>
  </si>
  <si>
    <t>Isidoro García Plaza</t>
  </si>
  <si>
    <t>es. viuda de Escolar y Noriega é hijo. En Granada........ D. Francisco de Unzaga. • En Guadalaxara. D. Isidoro García Plaza. En Jaén............... D. Pedro y D. Juan Esponera. En León................. D. Pedro Gil de Tejada. En Málaga........... D. Juan Xímeno. En Mahon............. Doña Catalina Germ</t>
  </si>
  <si>
    <t>.Sres. viuda: de Escolar,, Nóriega é hijo. En Granada...... - D.. Francisco Unzaga. En Guadalaxara. D. Isidoro García Plaza. En. Jaén.............. D. Pedro y D. Juan Esponera.En León................ D&gt;- Gerónimo Gómez. En Málaga........... D.. Juan? Ximeno. J£m Mahon........ Doña Catalina Germán y Hug</t>
  </si>
  <si>
    <t>García Puerta, Simón</t>
  </si>
  <si>
    <t>Simón García Puerta</t>
  </si>
  <si>
    <t>os piezas en la calle del coliseo en 13,100. Quien quisiere hacer postura á ellas acuda ante el Sr. D. Simón García Puerta, intendente general de dicho real sitio, por su escribanía principal , en el término de go dias contados desde 7 del corriente; en inteligencia que cumplidos, al tercero siguiente</t>
  </si>
  <si>
    <t>García Ramírez, Francisco</t>
  </si>
  <si>
    <t>Francisco García Ramírez</t>
  </si>
  <si>
    <t>fincas, acudirá ante dicho señor, por la escribanía de D. Francisco García Ramírez, en la villa de Coin; previniéndose estar señalado el dia 27 del corriente parí su remate. Por providencia de D. Miguel Antonio de Zamora, subdelegado del departamento de Irun, en</t>
  </si>
  <si>
    <t>en la misma cantidad á pagar en vales'reales. Quien quisiere hacer mejora acuda á 4a escribanía de D. Francisco García Ramírez, en dicha villa de Coin; previniéndose está señalado «I dia 8 del corriente para su remate*</t>
  </si>
  <si>
    <t>García Roldan, Luis Tomás</t>
  </si>
  <si>
    <t>Luis Tomás García Roldan</t>
  </si>
  <si>
    <t>y la Lastra: para otra, de la catedral de Calahorra, vacante por fallecimiento de D. Luis Tomas García Roldan» á D. Francisco Zapata, canónigo de la de Astorga: para otra de la catedral de Jaén, vacante por moerte de D. Sebastian Perez Piñuela, á D. Miguel de los Santos Ballesteros Fermos</t>
  </si>
  <si>
    <t>García Suelto, Tomás</t>
  </si>
  <si>
    <t>Tomás García Suelto</t>
  </si>
  <si>
    <t>mica, por Antonio Portal»ptfofesor de Medicina,del Colegio de Francia , traducida al castellano por D. Tomas García Suelto, acudirán á la librería de Alonso , frente á las gradas de S. Felipe», á recoger el tomo 2.0 y- anticipar el importe del 3.0 Igualmente se subscribe en Sevilla en la librería de C</t>
  </si>
  <si>
    <t>García Vallecillos, Gabriel</t>
  </si>
  <si>
    <t>Gabriel García Vallecillos</t>
  </si>
  <si>
    <t>mente ha nombrado S. M. para la alcaldía mayor de Atitan y Tepenatitan, en el reyno de Goatemala, á D. Gabriel García Vallecillos; y para una plaza de agente de número de los de Indias á D. Eulogio Villazan. Por real decreto de S. M. de 23 de junio de 1807 se ha trasladado la feria anual que se celebraba en</t>
  </si>
  <si>
    <t>García Várela, Manuel</t>
  </si>
  <si>
    <t>Manuel García Várela</t>
  </si>
  <si>
    <t>ugía; D. Eugenio Aravaca, médico; D. Tomas de Llanes, teniente coronel de milicias; D. JuanAlmeyda; D. Manuel García Várela; D. Manuel Malo y Reyes; D. Blas Ostoloza, doctor en teología y cánones; D. Domingo Parrondo y Ortiz, y D. Francisco Pió Guzman, maestros de primeras letras. En la extracción de l</t>
  </si>
  <si>
    <t>García Várela, Pedro</t>
  </si>
  <si>
    <t>Pedro García Várela</t>
  </si>
  <si>
    <t>pital; D. Mariano^ Briones, oficial déla contaduría general de la distribución de la real hacienda; D. Pedro García Várela; D. Francisco Pradel; D. Ventura María Sani, conserge del real palacio delrsitio de S. Ildefonso, y D. Simón de Roxas Clemente, bibliotecario del real jardín botánico de Madrid. E</t>
  </si>
  <si>
    <t>García Ximcnez, Ramón</t>
  </si>
  <si>
    <t>Ramón García Ximcnez</t>
  </si>
  <si>
    <t>da Ayuntamiento, don i: se ha sen Por la audiencia del §r. D. Torquato está'villa , y escribanía de D. Ramón García Ximcnez, se vende una casa á la malicia en la calle del Carnero, nám.'2, manz. 92, tasada en r 1,042 rs. Quien quisiere hacer postura acuda ante dicho Señor y referida escribanía, en el t</t>
  </si>
  <si>
    <t>García Ximen, Ramón</t>
  </si>
  <si>
    <t>Ramón García Ximen</t>
  </si>
  <si>
    <t>jora, acuda ante el Sr. D. León de Sagasta, teniente corregidor de esta villa, por la escribanía de D. Ramón García Ximen- z. A voluntad de sus dueños, y en virtud de providencia del Sr. D. León de Sagasta, teniente corregidor de esta villa, se vende una huerta sil* en término del lugar de Carabanchel</t>
  </si>
  <si>
    <t>García Ximenez, Ramón</t>
  </si>
  <si>
    <t>Ramón García Ximenez</t>
  </si>
  <si>
    <t>León de Sagasta, teniente corregidor de esta villa, de 5 de marzo próximo pasado , y escribanía de D. Ramón García Ximenez, estan mandadas sacar á pública subasta dos'cssás sitas en esta corte , la una en la calle del Humilladero, núm. 3 , manz. 10.4) tasada en' 55,616 rs. 25 mrs.; y la otra en la cal</t>
  </si>
  <si>
    <t>ias, que por primero , segundo y tercero se concede, comparezcan en su juzgado por la escribanía de D. Ramón García Ximenez á decir y alegar de su derecho sobre el patronato real de legos y memoria de misas perpetua; fundado en el convento de S. Francisco de esta corte por dicho Soro en nombre de D. Bl</t>
  </si>
  <si>
    <t>1285 D. Torquáto Antonió CoHado, teniente córregtdór de ésta villa, pór ante el escriban© de número D. Ramón García Ximenez. Por providencia de D. Juan López de Vinuesa, subdelegado para la venta de bienes eclesiásticos en la villa de Cáceres y su arciprcstazgo, se ha mandado sacar i pública subasta, p</t>
  </si>
  <si>
    <t>García y Aranda, Agustín</t>
  </si>
  <si>
    <t>Agustín García y Aranda</t>
  </si>
  <si>
    <t>el Buen-Retiro; y para una capellanía de la villa del Castillo de Garci Muñoz, diócesi de Cuenca, á D. Agustín García y Aranda. El Rey se ha dignado promover á teniente general de sus exércitos al mariscal de campo el Sr. D. Antonio Olaguer Feiiu, secretario de Estado y del despacho de la Guerra. El Rey s</t>
  </si>
  <si>
    <t>García, Agustín</t>
  </si>
  <si>
    <t>Agustín García</t>
  </si>
  <si>
    <t>s y á D. Vicente Pazos; á tenientes á IX Manuel Oíascoaga y D. Marcelo Negrete » y á subtenientes á D. Agustín García y D, Josef de la Cruz Gómez, los cinco últimos vecinos de la Jurisdicción de las mismas compañías. Para que el público pueda ver las preciosidades que posee la real academia de las tr</t>
  </si>
  <si>
    <t>GarcÍa, Antonio</t>
  </si>
  <si>
    <t>Antonio GarcÍa</t>
  </si>
  <si>
    <t>66... 24- Antonio GarcÍa ...... de Josef. ....... Murcia.......................... '795" Muert. 96... 2. Agustin Plata .... ~ ..•. de Antonio... Pedrajas de Segovia ....... J 7</t>
  </si>
  <si>
    <t>García, Antonio</t>
  </si>
  <si>
    <t>Antonio García</t>
  </si>
  <si>
    <t>ubtenientes de las compañías de la brigada de artilleros veteranos del departamento de PuertoRico á D. Antonio García, sargento de las mismas, y al artillero distinguido del tercer regimiento de artillería. Animismo ha tenido S. M. á bien nombrar subtenientes en las de la brigada de artilleros ve</t>
  </si>
  <si>
    <t>García, Cipriano</t>
  </si>
  <si>
    <t>Cipriano García</t>
  </si>
  <si>
    <t>ro: al mérito y aplicación de D. F. en la L. R.S. E. de V. y su P.—_La aplicación que ha acreditado D. Cipriano García, natural de esta ciudad,en el plano topográfico de VaIlado’id , que presentó al cuerpo patriótico, ha merecido que este distinga tan útil afición y honesta ocupación, dándole por</t>
  </si>
  <si>
    <t>García, Felipe</t>
  </si>
  <si>
    <t>Felipe García</t>
  </si>
  <si>
    <t>esta villa, se cita, llama y emplaza á todos los que se consideren herederos de Felipe García, natural que Fue de la parroquia de S. Martin de Bercelos, jurisdicción de Neyra de Jusa, obispado de Tugo, reyno de Galicia, para que en el término de 15 dias, que por tercero y áltimo, p</t>
  </si>
  <si>
    <t>García, Francisco Antonio</t>
  </si>
  <si>
    <t>Francisco Antonio García</t>
  </si>
  <si>
    <t>a á qua’quira de dichas fincas, lo exectitirí por la escribanía de la comisicn, que está á cargo de D. Francisco Antonio García dei Rosal. En virtud de providencia de DrAntonio María de Loims se ha sacado á pública subasta una casa con agua principal, fuente y lavadero, compuesta de 43 s las, qu artos y habit</t>
  </si>
  <si>
    <t>García, Gregorio</t>
  </si>
  <si>
    <t>Gregorio García</t>
  </si>
  <si>
    <t>de Indias se ha dignadaS. M. promover á capitanes á ios tenientes D. Francisco Nicafio Carrascosa, D. Gregorio García y D. Diego Fernandez de Castro, los dos primeros de granaderos; á ayudante mayor al teniente D. Lorenzo Escudero ; á tenientes de granaderos á los de fusileros D. Joaquín Palacio y D.</t>
  </si>
  <si>
    <t>García, Juan</t>
  </si>
  <si>
    <t>Juan García</t>
  </si>
  <si>
    <t>60 ... 10. Juan García ............ de Gaspar ..... Guadilla en Villamar en Búrgos........................ 1793.' Muert. 178... 26.</t>
  </si>
  <si>
    <t>García, Juan Félix</t>
  </si>
  <si>
    <t>Juan Félix García</t>
  </si>
  <si>
    <t>sto. El Rey se ha servido nombrar para una canongía de la catedral de Toledo, vacante por muerte de D. Juan Félix García, á D. Manuel Ignacio Ipola, racionero dé la misma; y para la ración que este dexa á D. Agustín Alexandro Galan: para una canongía de la colegial de Cervatos, en la diócesi de Burg</t>
  </si>
  <si>
    <t>García, Miguel</t>
  </si>
  <si>
    <t>Miguel García</t>
  </si>
  <si>
    <t>cisco Conway, capitán del citado Villaviciosa; y en el de Lusitania empleo de portaguión al cadete. D. Miguel García. También se ha dignado el Rey conferir Ja tenencia coronela del regimiento de há ares de Mana Luisa al teniente coronel D. Pedro Quadrado, sargento mayor del de cazadores de Oiive</t>
  </si>
  <si>
    <t>nado el Rey promover á teniente al subteniente D. Pedro Colomo, y á subteniente al sargento primero D. Miguel García. S. M. se ha servido conferir el gobierno militar y político de la plaza de Barcelona al mariscal de campo D. Cárlos de Witre, comandante general de la provincia de Guipúzcoa; est</t>
  </si>
  <si>
    <t>García, Santiago</t>
  </si>
  <si>
    <t>Santiago García</t>
  </si>
  <si>
    <t>stellano, y aumentado con las observaciones sobre algunas de las mismas enfermedades de P. Sué, por D. Santiago García, médico de familia de S. M.: 2 tomos en 4.0 Se hallarán en las librerías de Campo, calle de Alcalá, y de Escribano, calle de las Carretas, á 26 rs. en rústica. — En las mismas lib</t>
  </si>
  <si>
    <t>García, Vicente</t>
  </si>
  <si>
    <t>Vicente García</t>
  </si>
  <si>
    <t>Barnuevo otro; DiMatíál Márkiv diputado de abastos, otro; D. Blas Luis, procurador persQnero, otro; D. Vicente García , escribano del ilústre ayuntamiento,~aos ;* y un socio, que no quiso nombrarse, otro. Procedióse al sorteo dé éstós ¡nuevos dotes entre las expresiones de la ternura y alégría ge</t>
  </si>
  <si>
    <t>rs. Quien quisiere hacer postura comparezca e» la escribanía de dicha subdelegacion, que desempeña D. Vicente García; con la prevención de que está señalada el remate para el a6 del presente. Por ía comisión real de bienes eclesiásticos de la diócesi de Barcelona, y en virtud de auto provisto po</t>
  </si>
  <si>
    <t>Garcimartin, Bartolomé</t>
  </si>
  <si>
    <t>Bartolomé Garcimartin</t>
  </si>
  <si>
    <t>ádiz: para el préríamo de la villa de Gantaractllo, en la diócesis de Avilavacante por promoción de D. Bartolomé Garcimartin yLaiastraá canongía de aquella catedral, á D. Lucas Morgado Morte; y para un beneficio de coro y altar de la catedral de Ibiza, vacante por fallecimiento de D. L idoro Montero , á D</t>
  </si>
  <si>
    <t>Gardannes, General</t>
  </si>
  <si>
    <t>General Gardannes</t>
  </si>
  <si>
    <t>Emperador se dirigió á Ciechanow con la mayor parte de la caballería de reserva. Paso del Sonna. El General Gardannes, á quien el Emperador había enviado con 30 hombres de su guardia para reconocer los movimientos del enemigo , avisó que pasaba el Sonna en Lo'packzin, dirigiéndose hacía Tykockzin</t>
  </si>
  <si>
    <t>Gardner, Lord</t>
  </si>
  <si>
    <t>Lord Gardner</t>
  </si>
  <si>
    <t>de rencas.—-Se hg notado que Mr. Wilberforce ha seguido en estos debates el voto de los ministros. Lord Gardner salió de aquí el dia 3 para Plymouíh á tomar; el. mando de Ja e^quadra- del canal. . d ¡, ■&gt;.? r Los guardias de infantería se embarcarán con la primera división de tropas inglesa</t>
  </si>
  <si>
    <t>Gargarin, Príncipe</t>
  </si>
  <si>
    <t>Príncipe Gargarin</t>
  </si>
  <si>
    <t>á quien ha tenido la honra de presentar sus credenciales. En compañía del embaxador han venido, el Príncipe Gargarin, y Mrs. de Beckendorf, de Nesselrode y. de Gourbe-w. Mr. Bouvard, del instituto é individuo de la junta de longitudes, ha publicado en el monitor del i.°de noviembre el artículo s</t>
  </si>
  <si>
    <t>Gárlos Rodríguez de Moya</t>
  </si>
  <si>
    <t>en 139,250 rs. 8 nirs, Quien quisiere hacer postiirfc. acuda aiité dicho señor por la escribanía de D. Gárlos Rodríguez de Moya.. - , AVISOS. Ante el Sr.- D. Ramón de Pisón , del consejo de S. M., alcalde honorario del crimen de la real chancillería de Valladolid, y auditor del juzgado del Almirantazgo de</t>
  </si>
  <si>
    <t>Garlos, Luis</t>
  </si>
  <si>
    <t>Luis Garlos</t>
  </si>
  <si>
    <t>rmino de todo el mes de Abril. LIBROS. Catecismo de motivos de credibilidad católica, compuesto por D. Luis Garlos j Zúñiga, cura de Escalonilla: obra que ha merecido los elogios de otros papeles públicos, y la aprobación de varíes obispos. Antes se vendía en las librerías de Ramos, calle de l</t>
  </si>
  <si>
    <t>Garlos, Príncipe</t>
  </si>
  <si>
    <t>Príncipe Garlos</t>
  </si>
  <si>
    <t>lla asamblea para oponerse á los deseos del gobierno. Las cartas de Viena dicen que el proyecto del Príncipe Garlos, relativo al mejor arreglo’ del apellido húngaro, fue desestimado por la dieta, en cuya Ocasión se pronunciaron algunos discursos, que no han podido dexar de desagradar á la corte</t>
  </si>
  <si>
    <t>Garnerin</t>
  </si>
  <si>
    <t>Clauseo, distrito de Waldfischbach, departamento de Mont-tonnerre, á mas de 100 leguas de París.__ Mr. Garnerin ha publicado relaciones circunstanciadas de e¿cos dos viageS, que el público ha leído con mucho Ínteres. Mr. Pons, astrónomo de Marsella, ha descubierto el 20 de setiembre, en la</t>
  </si>
  <si>
    <t>Garrido, Juan</t>
  </si>
  <si>
    <t>Juan Garrido</t>
  </si>
  <si>
    <t>4 rs. acuda-ante el Sr. D. Alfonso• Duran-y -Babaza-' bal, Alcalde de.Casa y Corte, y escribanía dé D. Juan Garrido. ’• Paré pago dé acreedores de una - testamentaría y á voluntad de sus dueños se vende’ úna casa en la villa de Piñto/jg. leguas distante de esta Corte, en él siticí qué dicen el</t>
  </si>
  <si>
    <t>30 dias contados desde ^ del corriente, á usar de su derécho ante dicho Sr. Alcalde y escribanía de D. Juan Garrido; con apercibimiento que de lo contrario les parará todo perjuicio. Los subscriptores á las Reflexiones sobre la naturaleza, escritas en aleman para todos los dias del año por el c</t>
  </si>
  <si>
    <t>onso Duran y Barazabal, del consejo de S. M-, alcalde de su real casa y corte, por la escribanía de D. Juan Garrido; previniéndose que su remate se ha señalado para el dia 4 de Mayo prójimo en Ja citada escribanía. Por providencia del Sr. D. Diego Gil Fernandez, del consejo de S. M., alcalde en</t>
  </si>
  <si>
    <t>uda ente el Sr. D. Alfonso Duran y Barazabal, alcalde de casa y corte, y escribanía de provincia de D Juan Garrido; previniéndose que su remate se ha señalado para el din 11 de Mayo próximo. El Sr. D. León de Sagasta, teniente corregidor de esta villa, ha señalado el 24 del corriente, en las p</t>
  </si>
  <si>
    <t>rs., acuda ante el Sr. D. Alfonso Duran y Baraiabal, alcalde de casa y corte, por la escribanía de D. Juan Garrido, en el término de 30 dias contados desde el 14 del presente. Se ha mandado sacar á pública subasta, por término de 30 dias contados desd.e el 22 del presente, una casa sita en el</t>
  </si>
  <si>
    <t>ha mandado subastar, ante el Sr. D» Benito Arias de Prada, alcalde de casa y corte, y escribanía de D. Juan Garrido. AVISOS. Por el Sr. D. Torquato Antonio Collado, teniente corregidor de esta villa, se cita, llama y emplaza á todos los que se consideren herederos de Felipe García, natural que</t>
  </si>
  <si>
    <t>postura acuda ante el Sr. Don Benito Arias de Prada, alcalde de casa y corte, por la escribanía de D. Juan Garrido; previniéndose que se ha señalado el dia 3 de agosto próximo para su remate. En virtud de providencias del señor alcalde de corte D. Francisco López Lisperguer se ha mandado sacar</t>
  </si>
  <si>
    <t>,578 rs., acuda ante el Sr. D. Benito Arias de Prada, alcalde de casa y corte, por ia escribanía de D. Juan Garrido; previniéndose que está señalado el 31 del presente para su remate. AVISOS. Por auto proveído por la sala de justicia del real y supremo consejo de las Indias en 28 de julio próxi</t>
  </si>
  <si>
    <t>s., acuda ante el Sr. D. Benito Arias de Prada, alcalde de corte, por la escribanía de provincia de D. Juan Garrido; previniéndose que su remate está señalado para el dia 19 del presente en la expresada escribanía. A voluntad de su dueño se vende el solar de una casa que se hallaba situada «1 l</t>
  </si>
  <si>
    <t>cuda ante el Sr, D. Antonio Cano Manuel, alcalde de casa y corte, por la escribanía de provincia de D. Juan Garrido, en el término de 30 dias contados desde el 16 déi corriente, que se admitirán las que se hicieren no siendo manos muertas, ni en menos cantidad que la en que respectivamente está</t>
  </si>
  <si>
    <t>rla, acuda ante el Sr. D. Andrés Romero, alcalde de casa y corte, por la escribanía de provincia de D. Juan Garrido. Quien quisiere comprar 180 cabezas de ganado vacuno de todas clames, una mula y un caballo para el mayoral, con 54 carretas, tasado en 130,300 rs-, acuda i la escribanía del núme</t>
  </si>
  <si>
    <t>cuda ante el Sr. D. Antonio Cano Manuel, alcalde de casa y corté, per la escribanía de provincia de D. Juan Garrido, donde se admitirán las que se hicieren, con tal que no sea por manos muertas, ni en menor cantidad que en la que respectivamente están valuadas; previniéndose está señalado para</t>
  </si>
  <si>
    <t>cuda ante el Sr. D. Antonio-Cano Manuel, alcalde de casa y corte, por la escribanía de provincia de D. Juan Garrido, que se admití* rán las que se hicieren, no siendo por manos muertas; previniéndose que su rema* te está señalado para el dia 2,5-dél corriente. AVISOS. En la villa de Mondejar, p</t>
  </si>
  <si>
    <t>Gasamayof, Pedro</t>
  </si>
  <si>
    <t>Pedro Gasamayof</t>
  </si>
  <si>
    <t>ioS?3 lo», 2063 al de D. Pedro Gasamayof, y 20^4 al de'D. Josef Urquiaga. La persona en cuyo poder se hallasen, se servirá dirigirlas á Cádiz ó Sevilla á alguna de la« dos asas mencionadas, y en esta corte á D. Agustín d</t>
  </si>
  <si>
    <t>Gasou, Juan</t>
  </si>
  <si>
    <t>Juan Gasou</t>
  </si>
  <si>
    <t>á los comisionados siguientes^ - - ~ En Albacete......... D. Mariano Melgosa. En Alicante......... D. Juan Gasou y compañía. En Avila............... D. Josef Piqueras Gómez. En Badajoz*........ D. Francisco Fernandez de la Peña y S. Miguel* En Barcelona...... . D. Ramón de Llordelia é hijo. En</t>
  </si>
  <si>
    <t>Gatees y Pérez, Ignacio</t>
  </si>
  <si>
    <t>Ignacio Gatees y Pérez</t>
  </si>
  <si>
    <t>ez de Moros; y pata una ración dé da qatedral de Roda, diócesi de Déi ida, vacante por promoción de D. Ignacio Gatees y Perez á eánongía de la misma iglesia, á D. jacinto Mariano y Viñas.</t>
  </si>
  <si>
    <t>Gauthier, General</t>
  </si>
  <si>
    <t>General Gauthier</t>
  </si>
  <si>
    <t>es mucho mas pequeño, excede todavía al Sena. El puente sobre el Bug está enteramente concluido. EL General Gauthier, con los Regimientos 25 y 85 de infantería, guarnece la cabeza de este puente , que el General Chasse^ loup ha fortificado con mucha inteligencia. La fortificación , apoyada en el</t>
  </si>
  <si>
    <t>Gavás, Francisco</t>
  </si>
  <si>
    <t>Francisco Gavás</t>
  </si>
  <si>
    <t>integral: D. Tomas Polo de dinámica: D. Clemente Ocaña de la aplicación del álgebra á la geometría: D. Francisco Gavás del álgebra; y D. Manuel María Cevalios de geometría..__Flecha la correspondiente gradúa* ion, resultó que D. Antonio Gil es acreedor al grado de sobrecaliente, adjudicándole un prime</t>
  </si>
  <si>
    <t>á este deben seguir D. Clemente Ocaña y Don Santiago Pescador, después D. Tomas Polo, y finalmente D. Francisco Gavás y D. Manuel María Cevallos. Premios -distribuidos cí los discípulos de estas escuelas. Vistas por la sociedad las graduaciones y aprovechamiento de todos los alumnos, determinó premia</t>
  </si>
  <si>
    <t>Gayarre, Antonio</t>
  </si>
  <si>
    <t>Antonio Gayarre</t>
  </si>
  <si>
    <t>e Capitán , D. Rafael Croqutr y D. Jóséf Cortes, ambos de granaderos ; á Ayudante mayor al Teniente D. Antonio Gayarre; á Tenientes de granaderos i Jos de fusileros D. Fran.isco Guerrero, D. Juan Mier y Teran y D. Luis_ Ferriet; á Tenienres al Subteniente de fulleros D. Vicente Borges, y los de gr</t>
  </si>
  <si>
    <t>Gcmez, Manuel</t>
  </si>
  <si>
    <t>Manuel Gcmez</t>
  </si>
  <si>
    <t>s de granaderos D. Tomas Carrillo y D. Pablo de Tuero; á Tenientes de granaderos á ios de fusileros D. Manuel Gcmez y D. Juan Serrano; á Tenientes á los Sufc¿tenientes de granaderos D. Josef de Castro Palomino y D. Pió Ruiz; á</t>
  </si>
  <si>
    <t>Gcwer, Lord</t>
  </si>
  <si>
    <t>Lord Gcwer</t>
  </si>
  <si>
    <t>3 dias que han entrado en el puerto de Cronstad 3 navios de guerra recif^ construidos en Arcángel©. Lord Gcwer, embaxador de Inglaterra, ha solicitado otra vez de nuestra corte que se ajuste un tratado de comercio entre ambas potencias; pero nuestro gobierno no ha querido dar oídos á sus p</t>
  </si>
  <si>
    <t>Gebhard</t>
  </si>
  <si>
    <t>Mr. de Bose,el secretario del departamento de la Guerra Mr. Pietsch, el de lo Interior Mr. Grahl, y Mr. Gebhard, secretario que fue de legación en Londres, y que ahora lo es del departamento de negocios extrangeros. Ningún individuo del cuerpo diplomático ha ido á este viage sino el ministr</t>
  </si>
  <si>
    <t>Genaro de VilIota, Manuel</t>
  </si>
  <si>
    <t>Manuel Genaro de VilIota</t>
  </si>
  <si>
    <t>ista de Montevideo: con el parecer de los coroneles Velasco y Elío, el del señor fiscal de lo civil D. Manuel Genaro de VilIota,y de todo el cuerpo municipal, determiné mandar un parlamentario al general ingles, exponiéndole las ventajas que acababa de tener sobre sus tropas; y que para darle una nueva pru</t>
  </si>
  <si>
    <t>Genaro de Villota, Manuel</t>
  </si>
  <si>
    <t>Manuel Genaro de Villota</t>
  </si>
  <si>
    <t>ticularmente en ocasión en que al primero le cayó una bala á los pies. El fiscal de lo civil el Sr. D. Manuel Genaro de Villota se presentó igualmente en la plaza con el mayor denuedo el dia 5, y fue nno de los que presenciaron la conferencia que tuve para formar el tratado. Tampoco debo olvidar lo mocho q</t>
  </si>
  <si>
    <t>GenefalíshÁovAÍihirante, Príncipe</t>
  </si>
  <si>
    <t>Príncipe GenefalíshÁovAÍihirante</t>
  </si>
  <si>
    <t>as ca-as capitulares, en que se empezó la jtrqra, sé trasladó-esra con el rétraíchde S. A\ el Señor Príncipe GenefalíshÁovAÍihirante ál járdin-cle ?dcliYnkt¿ítiúli dy allí*&gt;se leyeron -la$ superiores órdenes oue han motivado su erección, y se habian conducido én una preciosa cáxíta He j&gt;latay sé vetifibó^ltfcás</t>
  </si>
  <si>
    <t>General de España, Almirante</t>
  </si>
  <si>
    <t>Almirante General de España</t>
  </si>
  <si>
    <t>e todos os guarden y hagan guardar el tratamiento, prerogatiras, derechos y obvenciones que por tal Almirante General de España é Indias, y de todas mis fuerzas marítimas, y por Protector del Comercio os corresponden; y para cumplimiento de todo lo referido he mandado despachar esta Cédula, firmada de mi m</t>
  </si>
  <si>
    <t>General, Almirante</t>
  </si>
  <si>
    <t>Almirante General</t>
  </si>
  <si>
    <t>n el propio hombre de Generalísimo, ó los unívocos de Capitán yGober— hádor General de la mar, y de Almirante General , gozaron en</t>
  </si>
  <si>
    <t>por conservar el brillante lustre de la alta dignidad de Generalísimo de mis Armas de tierra, y de Almirante General de mis fuerzas marítimas en todos mis dominios, como por vuestros extraordinarios méritos, servicios, y singularísimas circunstancias de vuestra persona, os es debido, y mando que de</t>
  </si>
  <si>
    <t>Generale Alontbxun</t>
  </si>
  <si>
    <t>; pero fué recibido^ vigorosamente. y,tuvo que retirarse cpn precipitación. Los Generales Alontbxun.y. Minucci, que volvían de Ohlau, recibiéron inmediatamente la</t>
  </si>
  <si>
    <t>generale Anchmuty</t>
  </si>
  <si>
    <t>distintivo de los españoles. „ Respuesta de la real audiencia d los comandantes generales Sterling y Anchmuty. % ;C ,,Señores: Quando este tribunal considera el origen y motivos que han obligado á W- EE. á dirigirle yi carta de 26 de febrero próximo pasado, ni extraña</t>
  </si>
  <si>
    <t>generale Auchmuty</t>
  </si>
  <si>
    <t>cia del mal éxito de nuestra expedición contra Buenos-Ayres, ha conducido á los generales Auchmuty y Craufurd. Luego que entró el bergantín en Portsmouth, y desembarcaron los oficiales, se dio orden para que la tripulación no baxase á tierra, porque no divulgase notici</t>
  </si>
  <si>
    <t>unta que ha celebrado el 22 del corriente, ha resuelto que se den gracias á los generales Auchmuty y Lumley, y ademas que se regale una espada de valor de 200 guineas al primero, y otra de 100 al segundo, en testimonio del aprecio que hace el ayuntamiento de los tale</t>
  </si>
  <si>
    <t>generale Barrois</t>
  </si>
  <si>
    <t>era, y los 32.0 y 9Ó.0 que componían la división. Merecen particular elogio los generales Barrois y Laheussaye, el coronel Semeíe del 24.0 de línea, el coronel Meunier del 9.0 de infantería ligera, el comandante de batallón Bcuge del 32.0 de línea, y el comandante de es</t>
  </si>
  <si>
    <t>Generale Beaumont</t>
  </si>
  <si>
    <t>dia, compuesta de 5 divisiones de caballería; á saber, de las divisiones de los Generales Beaumont, Klein, Milhaud, Nansouty y de Hautpoult. Después seguían las divisiones de infantería de los Generales Morand, Friant y Gudin,y una división de caballería man</t>
  </si>
  <si>
    <t>generale Belliard</t>
  </si>
  <si>
    <t>iage á cada uno en el departamento de Bromberg. Al mariscal Bernadotte, y á los generales Mathieu y Belliard, un bayliage á cada uno en el departamento de Kalisch; al mariscal Soult y al general Víctor, un bayliage á cada uno en el departamento de Posen ; y en el de V</t>
  </si>
  <si>
    <t>Generale Beningsen</t>
  </si>
  <si>
    <t>ndado por el General Kamenskoy, viejo de 75 años, que tiene á sus órdenes á los Generales Beningsen y Búxhowden. . El General Micjhelson1 entró de positivo en Moldavia. Algunos aseguran que se apoderó'de Yassi el 29 de Noviembre, y aun- añaden que una de sus Generales ha</t>
  </si>
  <si>
    <t>generale Berthier</t>
  </si>
  <si>
    <t>n del secretario de la academia, quando la dio parte de ello á presencia de los generales Murat y Berthier, y otros individuos del gobierno que asistían á la junta. Florencia ij de octubre. El valor de las mercancías inglesas seqüestradas por les franceses en el rey</t>
  </si>
  <si>
    <t>generale Bertrand</t>
  </si>
  <si>
    <t>13 de julio de 1807</t>
  </si>
  <si>
    <t>60 (extraord.)</t>
  </si>
  <si>
    <t>también lo ha sido en el brazo Mr. Guehenenc, edecart del mariscal Lannes. Los generales Reille y Bertrand, edecanes del Emperador, han hecho servicios de importancia; y también merece elogios la conducta de los oficiales de ordenanza del Emperador Bongars, Montesqu</t>
  </si>
  <si>
    <t>generale Blucher</t>
  </si>
  <si>
    <t>6© soldados para conducirlos á Stralsund. Se dice que mandarán estas tropas los generales Blucher y Tauencien. Hace pocos dias que han llegado á Stralsund otros 2© hombres de la Dalecarlia. Acabamos de recibir la noticia de que en Silesia hubo una acción bastante impor</t>
  </si>
  <si>
    <t>generale Boudet</t>
  </si>
  <si>
    <t>reído^ La mayor parte de aquel exército, compuesta de las dos divisiones de los generales Molitor y Boudet, tiene orden de ir por el Tirol á la Alemania meridional. Se hacen mil conjeturas sobre el destino de estas tropas, y tanto mas quanto se asegura que deben aca</t>
  </si>
  <si>
    <t>Generale Buxhofden</t>
  </si>
  <si>
    <t>s para cruzar en el Báltico. Se dice también que ya han salido algunos. ‘ y Los Generales Tolstoy y Buxhofden, con sus cuerpos de exército, se han reunido al Rey de Prúsia. (Abeja del Norte.) :■ . DINAMARCAv - ' ' , : .Copenhague Jrj de} j}tcfeir¿r'e^ r/, ’ El Encargad</t>
  </si>
  <si>
    <t>Generale Búxhowden</t>
  </si>
  <si>
    <t>generale Buxhowden</t>
  </si>
  <si>
    <t>ecer los intereses de nuestra patria, han obligado al Emperador á'retirar á los generales Kamenskoy y Buxhowden, y á conferir el mando del exército al general Benningsen.__ En fin, debo decir á V. que solo la confianza que tienen nuestros soldados en sus generales , y la</t>
  </si>
  <si>
    <t>generale Cathcart</t>
  </si>
  <si>
    <t>na, y se han cometido muy pocos excesos. Se alaba sobre todo la conducta de los generales Cathcart y Linsingen; pero no se habla del mismo modo de Sir Home Popham. En el dia se toman todas las medidas necesarias para abastecer esta ciudad y las de Noruega, adonde los in</t>
  </si>
  <si>
    <t>generale Chassc-lóup</t>
  </si>
  <si>
    <t>an hecho pasar los barcos por debaxo de los fuegos deí fuerte de Graudentz. Los generales Chassc-lóup, Kirgener, Laccste, y en general todos los oficiales de ingenieros, se han portado gloriosamente. Los zapadores han dado muestras dé un2 rara intrepidez; y la</t>
  </si>
  <si>
    <t>generale Chrisiophe</t>
  </si>
  <si>
    <t>llegan hasta el 6 de marzo. La guerra ‘civil había cesado entre los negros. Los generales Chrisiophe y Pichón habian hecho un convenio, dividiendo la ida en dos gobiernosdistintos, y quedándose cada qual con el suyo. ' Há salido cierta la voz de que, la disolución del</t>
  </si>
  <si>
    <t>Generale Claparede</t>
  </si>
  <si>
    <t>oria el 17.0 regimiento de infantería ligera y el 34.0; han quedado heridos los Generales Vedel y Claparede. El General Treilíard, Comandante de la caballería ligera, B.oussard, Comandante de una Brigada de la división de dragones Beker, :e!.Coronel Barthelémydel reg</t>
  </si>
  <si>
    <t>generale Craufurd</t>
  </si>
  <si>
    <t>generale Desjardins</t>
  </si>
  <si>
    <t>onde transitó durante la noche. El mariscal Augereau ha recibido un balazo: los generales Desjardins, Heudelet y Lochet han quedado heridos. Muriéron el general Corbineau, &lt;1 coronel Lacuée, del 63.0, y el coronel Lemarois, del 43.0 El coronel Bouvieres del ii</t>
  </si>
  <si>
    <t>generale Durosnel</t>
  </si>
  <si>
    <t>ército francés* El general Latour- Maubourg, con su,división de dragones, y los generales Durosnel y Watier, con sus brigadas de caballería ligera, persiguieron á los rusos sobre la orilla derecha del Alie, hacia Bartenstein, mientras que los cuerpos de exército marc</t>
  </si>
  <si>
    <t>generale Fraser</t>
  </si>
  <si>
    <t>ingles residente en Copenhague. Se espera de un dia á otro eU Inglaterra á los generales Fraser y Stewart, de vuelta de Alexandría, pues parece cierto que nuestras tropas han evacuado aquella plaza. Las últimas noticias de América dicen que se ha suspendido el proc</t>
  </si>
  <si>
    <t>generale Gobert</t>
  </si>
  <si>
    <t>és de la paz, como los estados de los Soberanos amigos. Acabo de escribir á los generales Lagrange y Gobert, diciéndoles que las casas del Rey deben estar desocupa*das; que los militares vivan con sus pagas y las gratificaciones concedidas por el Emperador, sin exigi</t>
  </si>
  <si>
    <t>Generale Gruchy</t>
  </si>
  <si>
    <t>a de la división de caballería ligera del General Tilíy, de los dragones de los Generales Gruchy y Sahuc, y de los coraceros del General Hautpoult. Los Plenipotenciarios Prusianos Lucchesini y Zastrow, pasaren el 10 por Thorn para Konigsberg, en busca del Rey su a</t>
  </si>
  <si>
    <t>generale Juno</t>
  </si>
  <si>
    <t>los dias de ayer y hoy el exército combinado español y francés* mandado por los generales Juno t y Carrafa, ha pasado la frontera, y entrado en el territorio portugués, Madrid 2y de noviembre, . ... El Rey se ha servido conferir la sargentía mayor del re</t>
  </si>
  <si>
    <t>Generale Kamenskoy</t>
  </si>
  <si>
    <t>también muchos enfermos , y tiene mas cada dia. Hay la mayor desunión entre los Generales Kamenskoy, Benígsen y Bus* howden. £1 enemigo ha evacuado totalmente la Polonia prusiana ; y el Rey de Prusia, que estaba en Koenisberg, se ha refugiado á MemeL Por espa</t>
  </si>
  <si>
    <t>ARTO DEL ¡EXERCITO GRANDE. Varsovia n6 de enero* . Lps 89 cañones cogidos á los Generales Kamenskoy, Benigsen y Buehowden en los combates de Czarnowo , Nasieisk, Pultusk y Golymin, . que son los mismos que los enemigos acarreaban con ostentación porias ' call</t>
  </si>
  <si>
    <t>generale Kamenskoy</t>
  </si>
  <si>
    <t>Generale Kaminsky</t>
  </si>
  <si>
    <t>en veriñcar otras operaciones ofensivas de mayor importancia. La reunión de los Generales Kaminsky, Buxhowden y Benigsen se celebró en el palacio de Sierock con regocijos y luminarias, que alcanzaban á verse de lo alto de las torres de Varsovia. Miéntras el</t>
  </si>
  <si>
    <t>generale Lagrange</t>
  </si>
  <si>
    <t>generale Laheussaye</t>
  </si>
  <si>
    <t>generale Lefebvre</t>
  </si>
  <si>
    <t>2 cañones. Los bávaros y los wurtembergueses se han portado con bizarría, y los generales Vandamme y Lefebvre han dirigido con grande inteligencia los ataques. Tilsit 28 de junio. Ayer á las 3 de la tarde el Emperador Napoleón fue á ver al Etnpera</t>
  </si>
  <si>
    <t>generale Legrand</t>
  </si>
  <si>
    <t>el departamento de Posen ; y en el de Varsovia otro bayliage á cada uno de los generales Legrand, Lariboissiere y Moutom Yiena ij de agosto. El día 4 de octubre, en celebridad de los días de S. M. I., se verifica* rá la inauguración de la estatua de nuestr</t>
  </si>
  <si>
    <t>generale Linsingen</t>
  </si>
  <si>
    <t>generale Lumley</t>
  </si>
  <si>
    <t>generale Maicoff</t>
  </si>
  <si>
    <t>los acaecimientos dignos de notarse, hemos visto entre ellos los cuerpos de los generales Pablen y Maicoff, dos de los principales fautores de la facción inglesa. Lo mismo sucedió en la campaña dePrusia&gt; en la que perecieron</t>
  </si>
  <si>
    <t>generale Mathieu</t>
  </si>
  <si>
    <t>generale Milloradowich</t>
  </si>
  <si>
    <t>. El 3 de junio salieron de Bucharest el Príncipe Ipsilanti y su familia, y los generales Milloradowich y Ulanius. Estos últimos-partieron con sus divisiones hácia Eoksany, en donde se hallaba desde el 30 de mayo el general Michelson y la artillería rusa/* Este año no habr</t>
  </si>
  <si>
    <t>generale Molitor</t>
  </si>
  <si>
    <t>generale Molitóry Boudéthabiahpasado</t>
  </si>
  <si>
    <t>át I4dejulió', que los generales Molitóry Boudéthabiahpasado con sa divisionel rio Peene, por Damgarts yTríbbsée, y qüe habitfn llegado ¿ vista de Stralsund. El general Grahdjean pasó por Anclam: los suecos intentaron ha</t>
  </si>
  <si>
    <t>Generale Morand</t>
  </si>
  <si>
    <t>d, Nansouty y de Hautpoult. Después seguían las divisiones de infantería de los Generales Morand, Friant y Gudin,y una división de caballería mandada por el General Vandamme, y tos cuerpos de exército de los Mariscales Davoust y Augereau. El cuerpo del Mar</t>
  </si>
  <si>
    <t>generale Murat</t>
  </si>
  <si>
    <t>Generale Ostermann Tolstoy</t>
  </si>
  <si>
    <t>tropas se han portado con el mayor denuedo. Se han señalado particularmente los Generales Ostermann Tolstoy, Barkley de Tolly, el Príncipe Dolgorowky, Baggouwot, Summow y Gondorff: en la caballería el General Kosin. El Coronel de Zegulin, con el regimiento de tártaro</t>
  </si>
  <si>
    <t>generale Oudinot</t>
  </si>
  <si>
    <t>los montecülos de arena que la cubren. En esto avanzaron las divisiones de los generales Suchet y Oudinot, y á las 12 del día llegaban á Ostrolenka las cabezas de las colunas. El general Savary formó su pequeño exército del modo siguiente r El general Oudinot manda</t>
  </si>
  <si>
    <t>generale Pablen</t>
  </si>
  <si>
    <t>generale Páj'of</t>
  </si>
  <si>
    <t>secutivamente de todas sus posiciones^ Las brigadas'de caballería ligera de los generales Páj'of, Bfííyerés&gt;y Dürósriel, y la división dé la caballería de línea del general Nansouty triunfaron de todos los esfuerzos del enemigo. Alas 8 de la noche entramos</t>
  </si>
  <si>
    <t>generale Pichón</t>
  </si>
  <si>
    <t>generale Pouthod</t>
  </si>
  <si>
    <t>ente el 2.0 regimiento de infantería ligera, el n.°, las tropas de Paris, y los generales Pouthod y Schramm. Ei diario exacto y circunstanciado que se formará de este sitio, ofrecerá gran numero de rasgos de valor, dignes de ser presentados por exemplos, y muy propio</t>
  </si>
  <si>
    <t>generale Pujot</t>
  </si>
  <si>
    <t>i: 4.0 la división del general Z'aiaczek: 5 0 las brigadas de caballería de los generales Pujot y Wathier: 6.° una división de saxones; y 7.0 los cuerpos polacos que estaban en el exército grande. La misma cartadice que el 5.0 y 6.° cuerpo del exército grande pasar</t>
  </si>
  <si>
    <t>generale Regnier</t>
  </si>
  <si>
    <t>mania» Polonia» Ñapóles y Dalmacia: en Ñapóles 30® hombres á las ordenes de los generales Saint-Cyr y Regnier; en Dalmacia 20® hombres mandados por eL general Marmont; en los países de Hesse, Fulda y Baireuth iq© hombres. El cuerpo de observación del Oder, queqnanda el</t>
  </si>
  <si>
    <t>generale Reille</t>
  </si>
  <si>
    <t>Generale Ru</t>
  </si>
  <si>
    <t>rojado de ella y peregúido por espacio de algunas leguas. Fuéron heridos varios Generales Ru^s , hechos prisioneros algunos Coroneles, y cogidos muchos cañones. Ha quedado herido mortalmente el Coronel Bekler del 8.° Regimiento de dragones , Oficial de</t>
  </si>
  <si>
    <t>generale Ruchel</t>
  </si>
  <si>
    <t>s órdenes al general Benningsen : el otro lo mandará el Rey de'Pru ia , con los generales Ruchel, Blucher y Lestocq; el tercero en fin tendrá por gefe a! gran duque Constantino, y baxo sus órdenes al general Ostermann ToLtoy. La vanguardia principal estará</t>
  </si>
  <si>
    <t>colegio superior de la guerra, que costaba anualmente al Rey 300® escudos. Los generales Ruchel, Plótz, Usedom, Schimmelpenning, y los dos hermanos Pelet, han salido del exército. El mariscal Moellendorff ha determinado acabar sus dias en Halbersberg. El</t>
  </si>
  <si>
    <t>Generale Sahuc</t>
  </si>
  <si>
    <t>generale Saint-Cyr</t>
  </si>
  <si>
    <t>generale Savary</t>
  </si>
  <si>
    <t>; ai mariscal Ney, dos bayliages; á los mariscales'Mortier y Bessleres, y á los generales Savary, Suchetj Oudiuot, Dapont, Walther, Grouchi, Marchand, Bertrand, Lannes (el joven), St. HHaire, Michaux y Nansóuti, un bayliage á cada uno en el departamento de</t>
  </si>
  <si>
    <t>generale Schramm</t>
  </si>
  <si>
    <t>generale Steinbell</t>
  </si>
  <si>
    <t>y el coronel Kern, y entre los últimos al teniente general Essen, y los mayores generales Steinbell, Sukin y Marcow. La marcha retrógrada del exército ruso hasta pasar el Niemen, la proposición hecha por el general ruso ál general francés de una suspensión de</t>
  </si>
  <si>
    <t>generale Sterling</t>
  </si>
  <si>
    <t>generale Stewart</t>
  </si>
  <si>
    <t>generale Suchet</t>
  </si>
  <si>
    <t>generale Tauencien</t>
  </si>
  <si>
    <t>generale Toll</t>
  </si>
  <si>
    <t>o ya á Stvalsund. El Rey ha pasado revista á las tropas suecas y prusianas: los generales Toll y Wrede mandarán baxo las órdenes de S. M. La noticia esparcida de que los suecos habían anunciado el romp¡¿miento del armisticio, necesita de confirmación. Las cartas</t>
  </si>
  <si>
    <t>Generale Tolstoy</t>
  </si>
  <si>
    <t>generale Ulanius</t>
  </si>
  <si>
    <t>generale Vandamme</t>
  </si>
  <si>
    <t>Generale Vedel</t>
  </si>
  <si>
    <t>generale Wathier</t>
  </si>
  <si>
    <t>generale Watier</t>
  </si>
  <si>
    <t>Generale Wellesley</t>
  </si>
  <si>
    <t>e á marchas forzadas á Liverpool, y embarcarse inmediatamente para Irlanda. Los Generales Wellesley é Hill son los que mandan estas tropas, cuyo número prueba que los Ministros miran el peligro como muy grande é inminente. Se sabe por otra parte que la comisi</t>
  </si>
  <si>
    <t>generale Whitelocke</t>
  </si>
  <si>
    <t>30 de septiembre de 1807</t>
  </si>
  <si>
    <t>88 (extraord.)</t>
  </si>
  <si>
    <t>unstancias. Las fuerzas de los ingleses ascendían á 12® hombres al mando de los generales Whitelocke, Auchmuty, Craufurd y Lumley. Tomaron tierra, y se presentaron delante de Buenos-Ayres el 29 de junio.__ El plan del ataque estaba dispuesto con mucha intelige</t>
  </si>
  <si>
    <t>generale Wrede</t>
  </si>
  <si>
    <t>Generalfciukr Almirante, Príncipe</t>
  </si>
  <si>
    <t>Príncipe Generalfciukr Almirante</t>
  </si>
  <si>
    <t>ensayo, y del acierto y circunspección con que protege tan. ventajoso establecimiento el Sermo. Sr. Príncipe Generalfciukr Almirante. Véndese en el despacho de la imprenta real, á 4 rs. eñ rústica. *í: *\ * En la imprenta y librería de Doblado, calle de Barrióñuevo, se halla ya impreso-y de venta la primera par</t>
  </si>
  <si>
    <t>Generalísimo Almiranie, Príncipe</t>
  </si>
  <si>
    <t>Príncipe Generalísimo Almiranie</t>
  </si>
  <si>
    <t>partamento D. Félix de Tejada 70.050 rs. de vn., con arreglo á lo dispuesto por el Serenísimo Señor Príncipe Generalísimo Almiranie, de los quales 20© eran del mismo prelado, 3© de su cabildo, 6© del presbítero D. Fermín Fernandez de Estrada, y el resto del clero y varios particulares: todo de resultas de la e</t>
  </si>
  <si>
    <t>Generalísimo Almirante, Príncipe</t>
  </si>
  <si>
    <t>Príncipe Generalísimo Almirante</t>
  </si>
  <si>
    <t>corresponda =; En Aranjuéz á 18 de Enero de 1807. = AD. Pedro Cevállos.’* Por ef Serenísi no Señor Príncipe Generalísimo Almirante se ha circulado, con fecha de 19 de esre mes, á los Capitanes y Comandantes generales de las provincias del Reyno la Real Orden siguiente: \,,Para evitar las reclamaciones del Gob</t>
  </si>
  <si>
    <t>l Aparicio; y en eL de América Subtenencia de bandera al Cadete D. Josef Morales. El Serenísimo Sr. Príncipe Generalísimo Almirante se sirvió dirigir al Capitán general de Cataluña el oficio que sigue: „ Excmo. Sr. Quando me remitió D. Josef Pablo Ballot su plan de edncacion, ó método para aprender la lengua l</t>
  </si>
  <si>
    <t>rimer año de su fundación, y varios discursos alusivos al objeto y én .elogio del Serenísimo :Señor Príncipe Generalísimo Almirante, D. Jacobo Gordon , vecino y labrador de Xerez de. la Frontera, presentó.una memoria , ,en que.hace mención de la variedad.de arados y otros instrumento^ de agricultura :que ha,.t</t>
  </si>
  <si>
    <t>a dé Voluntarios- de Estado D. Alexanjdro Teílo. • '°in*' - ' / - * •■r í;'!-•* Él Serenísimo Señor Príncipe Generalísimo Almirante.ha admitido, en nombre del Rey nuestro Señor, la oferta dé 40®rs. vn., que para coadyuvar á las urgencias actuales de la corona han hecho los gefes, oficiales y demás ifidividíios</t>
  </si>
  <si>
    <t>el dé artillería,, se ha servido d Rey declarar, conformándose con el parecer del Serenísimo Señor Príncipe Generalísimo Almirante, que en lugar de lo prevenido en el artículo 26 del reglamento 14 de la ordenanza de 22 de julio de 1802, se observe inviolablemente que el juzgado general de artillería estableci</t>
  </si>
  <si>
    <t>de Valladolid en el mismo reyno. La real Sociedad económica de* Valencia ha dirigido al Sermo. Sr. Príncipe Generalísimo Almirante una representación concebida en los términos su guientes: Serenísimo Señor: Persuadida la real Sociedad^económica de Valencia de las ventajas del Instituto de Enrique Pestaiozzi,</t>
  </si>
  <si>
    <t>intereso en sa suerte, rogando á Dios le prospere muchos años. Aranjuez 10 de febrero de 1807.__ El Príncipe Generalísimo Almirante. _ A la real Sociedad económica de Valencia.” tmvmim ■ ......i— -■ —— - -■ - !' mK ' - .■■ 1 r1- 1 11 * 1 "'■■■■ 1 • ■» ■' '■ ■ — ■ 1 ^ El ífeíercurio de España.de 3 1 de Octubre,</t>
  </si>
  <si>
    <t>mig^ntazgo Británico, al saber el nombramiento de Almirante de España é Indias en el Serenísimo Sr. Príncipe Generalísimo Almirante. Véndese en los tres departamentos de Cádiz, Ferrol y Cartagena, en la imprenta real, y en la librería de Cerro, calle de las Carretas# La Patria al Serenísimo Sf.,príncipe de la</t>
  </si>
  <si>
    <t>j. • j. „ g, - ■ • ■ ■ : , ESPAÑA* •: . , Madrid 6* de marzo. Habiendo recibido el Serenísimo Señor Príncipe Generalísimo Almirante lc-s pliegos de oficio sobre la reconquista dé Buenosr Ay res, que han conducido D. Miguel Irigoyen y D; Manuel Obarrio, comisionados al efecto por aquel gobierno, y comprueban ex</t>
  </si>
  <si>
    <t>no darán lugarmf real desagrado. Dios guarde á V. muchos años. Aranjuez 19 de febrero de 1807. = El Príncipe Generalísimo Almirante.’' =sCircular á. los gefes de provincia» departamentos y baxeles de España é Indias. El rey se ha dignado comunicar á la Cámara el real decreto siguiente : ,,Para las plazas vacan</t>
  </si>
  <si>
    <t>Sermo. Sr. Príncipe Generalísimo Almirante, apenas supo que S. M. le había elevado á las sublimes dignidades de Almirante general de España é ludias, y de protector general del comercio, quando se dedicó á preparar acelera</t>
  </si>
  <si>
    <t>do regocijo de un inmenso concurso. Madrid 20 de rparzo. El rey se ha servido dirigir al Sermo. Sr. Príncipe Generalísimo Almirante en 28 de febrero el real decreto siguiente. „ Quedando extinguida á conseqiiencia de mi real cédula de fecha de ayer la dirección general de la armada, y creado en su lugar el emple</t>
  </si>
  <si>
    <t>lcalde ordinario de dicha villa. " r ' LIBROS. Vida de Bonaparte, dedicada á su Alteza elSermo. Sr. Príncipe Generalísimo Almirante, tomo 3.0: se vende con. los antecedentes en la librería de Qomez Fuentenebiro, calle de las Carretas, y en la de Ranz, calle de la Cruz, á 1 2 rs. Resumen en prosa de las metamór</t>
  </si>
  <si>
    <t>merecía el real instituto militar pestalozziano español al rey nuestro Señor, y al Serenísimo Señor Príncipe Generalísimo Almirante, se resolvió á emprender tan largo viage en compañía de Don Federico Studer, segundo ayudante del establecimiento, que venia á incorporarse en. él, y á conducir ios últimos adelan</t>
  </si>
  <si>
    <t>os; y habiendo dado cuenta de todo el gefe de la comisión D. Francisco de Teran al Serenísimo Señor Príncipe Generalísimo Almirante, ha mandado S. A. que se manifieste á Gordon su aprecio y gratitud, y que se publiquen sus dignas acciones. Otras providencias ha dictado S. A. S. con el laudable fin de hacer con</t>
  </si>
  <si>
    <t>se debe á sí mismo. El comandante general del campo de Gibraltar ha dado cuenta al Serenísimo Señor Príncipe Generalísimo Almirante en 9 de este mes de los auxilios que ha proporcionado la tropa española á los náufragos de una fragata de guerra portuguesa, que sé estrelló en la costa de levante hácia la Tunara,</t>
  </si>
  <si>
    <t>ama, y esta resulta al coronel D. Manuel Azlor, capitán del citado de Pavía. Deseando el Sermo. Sr. Príncipe Generalísimo Almirante acceder á las súplicas que le han dirigido varias personas para conseguir plazas de discípulos observadores en el real instituto militar pestalozziano, se sirvió disponer que se d</t>
  </si>
  <si>
    <t>a en la librería Mé Montero, callé dé la Concepción. Vida de Bonaparte, dedicada á S. A. S. el Sr.' Príncipe Generalísimo Almirante •• tomo 4.0 Se vende con los anteriores én la librería de Gómez Fuentenebro, calle de las Carretás, y én la de Ránz, callé de lá Cruz, á 12 rs. , lía Araucana, ó historia dé laf é</t>
  </si>
  <si>
    <t>mpezar dicho partido por S. Juan próximo. LIBROS. Vida de Bonaparte, dedicada á S. A. el Sermo. Sr. Príncipe Generalísimo Almirante: tomo g.° Se vende con los anteriores en la librería de Gómez Fuentenebro, calle de las Carretas, y en la de Ranz, calle de la Cruz, á 12 rs. Compendio moral salmaticense según la</t>
  </si>
  <si>
    <t>perpendicular al exe de la trayectoria, y se prescinda de la resistencia del medio____El Sermo. Sr. Príncipe Generalísimo Almirante se ba enterado del Felic resultado que han tenido estos exámenes públicos, tanto mas apreciables quanto per ja circunstancia de ser los primeros, no debían prcme'» ter tan señalad</t>
  </si>
  <si>
    <t>anasi© Quadra y D. Ramón de Matos, alférez y cadete del propio regimiento. Atendiendo el Sermo. Sr. Príncipe Generalísimo Almirante á las repetidas súplicas de los sugetos que desean instruirse en el nuevp método de Enrique Pestalozzi, se ha servido conceder plazas de discípulos observadores en el real institu</t>
  </si>
  <si>
    <t>ederle los honores de intendente de exército. El consulado de Mallorca ha participado al Sermo. Sr. Príncipe Generalísimo Almirante haber mejorado aquel cuerpo á sus expensas el fanal giratorio , situado en la torre de Puerto Pí, de la bahía de Palma, para facilitar la entrada de las embarcaciones en aquel fon</t>
  </si>
  <si>
    <t>su propia naturaleza, y por estar destinado á presidir y gujar sus operaciones el. Serenísimo Señor Príncipe Generalísimo Almirante. En obsequio de S. A. S., en memoria de esta época feliz, y á pesar de.las circunstancias de una próxima marcha, han efectuado por suscripción un denativo voluntario el general, s</t>
  </si>
  <si>
    <t>celebró el 24 del pasado el certámen del 13.0 curso de gramática casteliana0 dedicado ai Sermo. Sr. Príncipe Generalísimo Almirante: le presidió el Sr. D. Sebastian de Torres, del consejo real, protector de este estudio: D. Guillelmo Xaramillo, que lo dirige , ios censores y otros varios preguntaron á los alum</t>
  </si>
  <si>
    <t>lmedo, que vive en la calle deL Rollo, núm. 4. usaos. Vida de Bonaparte, dedicada á S. A. S. el Sr. Príncipe Generalísimo Almirante : tomo 6.° Se vende á 12 rs. en la librería de Gómez Fuentenebro, calle de las Carretas, y en Ja de Ranz, calle de la Cruz. Con este tomo se entregará gratis á los compradores un</t>
  </si>
  <si>
    <t>nes sobre un tema de Nasolini, 30: minués, con variaciones, de Almeyda, dedicados á S. A. S. el Sr. Príncipe Generalísimo Almirante, 36: las canciones el rendido, por ciertas cosas, memorias tiernas y el ruego amoroso, de León, á 8 rs. cada una; dichas canciones para guitarra, al mismo precio: las mañanas de m</t>
  </si>
  <si>
    <t>l de la tesorería general en esta corte. libros. Vida de Bonapartc , dedicada á S. A. el Sermo. Sr. Príncipe Generalísimo Almirante: tomo 7.0 Se vende, con los anteriores, en la librería de Gómez Fuentenebro, calle de las Carretas, y en la de Ranz, calle de la Cruz, á 12 rs. Consejos de un padre á su hijo p^ra</t>
  </si>
  <si>
    <t>los do» primeros quademos de esta grande obra. Lo es igualmente el &lt;yie ha hecho S. A. S; el Señor Príncipe Generalísimo Almirante , cuyo discernimiento y gustó en las bellas artes igualan al zélo y grandeza de alma cotu que protege las artes, las letras, y quanto conduce al bien del estado.—Sin embargo de qu</t>
  </si>
  <si>
    <t>escripción de una fiesta rural celebrada en' Sanlucar de Bárrame la en obsequio del Serenuimo Señor Príncipe Generalísimo Almirante; reflexiones sobre la importancia y antigüedad de e&gt;m solemnidades; noticia de varios establecimientos útiles; premios ofrecidos por las sociedades y í^eepos sabios &amp;c. &amp;c.. Se ha</t>
  </si>
  <si>
    <t>tán del real cuerpo de Ingenieros del exército, reimpreso y corregido de órden del Serenísimo Señor Príncipe Generalísimo Almirante para la enseñanza de las academias militares dependientes del expresado cuerpo. El mérito de esta obra es bien conocido, y la censura que mereció al sabio D, Jorge Juan su mejor a</t>
  </si>
  <si>
    <t>junta pública en el salón que en las casas consistoriales ha dedicado e! ayuntamiento al Sermo. Sr. Príncipe Generalísimo Almirante el dia 5 del corriente, presidida por su director el Sr. D. Josef Mata Linares, abriendo este la sesión con un eloqíiente discurso, en que demostró la importancia de los trabajos de</t>
  </si>
  <si>
    <t>stema de enseñanza de Enrique Pestalozzi, se han dirigido últimamente varios recursos al Sermo. Sr. Príncipe Generalísimo Almirante con este objeto; y S. A. S. ha tenido á bien conceder plazas de discípulos observadores en el real instituto militar Pestalozziano al secretario de la real sociedad económica de G</t>
  </si>
  <si>
    <t>argas y Ponce, director de la real academia de la Historia: discurso presentado al Serenísimo Señor Príncipe Generalísimo Almirante, é impreso de órden de S. A. Véndese á 8 rs. en el despacho de la imprenta real , en el de la dirección de trabajos hidrográficos, calle de Alcalá, núm. 6, y en las academias de g</t>
  </si>
  <si>
    <t>las torres de las iglesias: memoria escrita á favor de la humanidad , y en obsequio del Sermo- Sr. Príncipe Generalísimo Almirante en los alegres dias de su plausible exaltación 4 esta última dignidad, por D. Pedro Cayetano Lenard y Fonte. La lectura de esta memoria interesa generalmente á todos: en ella se man</t>
  </si>
  <si>
    <t>os, la segunda á la del Príncipe de Asturias, nuestro Señor, y la tercera á la del Serenísimo Señor Príncipe Generalísimo Almirante, solemnizando cada uno de estos brindis la artillería de los buques de guerra fondeados en este puerto, que al efecto se hallaban empavesados y engalanados desde la salida del sol</t>
  </si>
  <si>
    <t>Compendio gramatical para aprender la lengua arábiga, asi sabia como vulgar, dedicado al Sermo. Sr. Príncipe Generalísimo Almirante por D. Manuel Vacas Merino. Lo raras que se han hecho en España las gramáticas árabes para estudiar una lengua, á quien la castellana es deudora de un grandísimo número* de voces</t>
  </si>
  <si>
    <t>olas reunidas en !a Pomerania Sueca, con fecha de 7 de agesto último, participa al Serenísimo Señor Príncipe Generalísimo Almirante, corno el Brigadier D. Francisco Tcrradellas, que con su batallón ligero i.° de Cataluña, y el regimiento de dragones de Vi</t>
  </si>
  <si>
    <t>io, de 300 rs. vn., por un diseño colorido primorosamente, alusivo al Estado, y al Serenísimo Señor Príncipe Generalísimo Almirante:. á D. Pablo Vilar se le adjudicó el segundo* de 200 rs. vn., por los países de marina y ñores coloridas: el tercero, de 150 rs. vn,, á D. Miguel Curos, por algunos grupos de flor</t>
  </si>
  <si>
    <t>a de Napoleón Bonaparte, Emperador de los franceses y Rey de Italia, dedicada á S. A. el Sermo. Sr. Príncipe Generalísimo Almirante: tomo 8.° Se vende á 1 2 rs., con los anteriores, en las librerías de Ranz, calle de la Cruz, y Gómez íFuentenebro, calle de las Carretas. — Con el tomo 6.° se da gratis á los com</t>
  </si>
  <si>
    <t>lecimiento de los estados mayores mereció la distinguida elección de ser nombrado por el Serme. Sr. Príncipe Generalísimo Almirante, inmediato subalterno suyo por el ramo de marina. Consecutivamente mereció la particular real confianza á S. M. de noTnbrarle su secretario de Estado y del despacho de Marina: enc</t>
  </si>
  <si>
    <t>la Tía Aurora en la escena de estar leyendo, en medio pliego de marca mayor, dedicada al Sermo. Sr. Príncipe Generalísimo Almirante. Véndese en la librería de Escribano, calle de las Carretas, y en la de Esparza, puerta del Sol. Estampa nueva que representa un capricho alegórico de H. Golzío satirizando á los</t>
  </si>
  <si>
    <t>able desde dicha villa hasta el mar, del que dista 9$) varas. Noticioso de todo el Serenísimo Señor Príncipe Generalísimo Almirante, admitió baxo su inmediata protección tan loable solicitud, mereciendo la villa de Reus que en 19 de setiembre de 1805 se le concediese el real permiso de abrir el canal, cuya exc</t>
  </si>
  <si>
    <t>general de Caracas, en varios oficios del mes de abril anterior, ha participado al Serenísimo Señor Príncipe Generalísimo Almirante el resultado final de la expedición del rebelde Miranda. Persuadido de que las invasiones con que han sido acometidas aquellas provincias se hicieron de acuerdo con los ingleses, y</t>
  </si>
  <si>
    <t>os, á Don Juan Manuel Calderón, subteniente del batallón de Castilla ñxo de Campeche. El Sermo. Sr. Príncipe Generalísimo Almirante, atendiendo al loable designio que tienen la ciudad de Soria, y los cuerpos principales de aquella provincia, de mejorar la educación, propagando el estudio del nuevo método de en</t>
  </si>
  <si>
    <t>l regimiento provincial de Ciudad-Rodrigo, con el motivo de haberse dignado admitir S. A. S. el Sr. Príncipe Generalísimo Almirante un oficio de regidor preeminente de aquella ciudad. Véndese en la librería de Gómez Fuentenebro, calle de las Carretas, á 2 rs.: puede ir en carta. Combate espiritual, escrito en</t>
  </si>
  <si>
    <t>as fuerzas sutiles del apostadero de Málaga D. Francisco Maurell ha dado cuenta al Serenísimo Señor Príncipe Generalísimo Almirante de haber salido de Málaga el 19 del mes próximo pasado escoltando un convoy de 30 velas menores, cargadas de efectos navales para el arsenal de Cádiz, que debían pasar por la Tunara</t>
  </si>
  <si>
    <t>ROS. Vida de Napoleón 1, Emperador de los franceses y Rey de Italia, dedicada á S. A. el Sermo. Sr. Príncipe Generalísimo Almirante:tomo ix,que comprehende hasta la paz de Tilsit. Se vende con los anteriores en las librerías de FucntcnebrOj calle de las Carretas, y de Ranz, calle de la Cruz. El nuevo Robinson,</t>
  </si>
  <si>
    <t>ro, comandante interino del apostadero de Algeciras, ha dado el parte siguiente al Serenísimo-Señor Príncipe Generalísimo Almirante con fecha de 5 de noviembre. „ Serenísimo Señor: Ayer entró en este puerto una división de 9 barcos de fuerza de este apostadero , procedente de Santi Petri, al cargo del -tenient</t>
  </si>
  <si>
    <t>S. muchos años. Buenos-Ayres 31 de julio.de 1807. = Serenísimo Señor, Santiago Linters. =Sermo. Sr. Príncipe Generalísimo Almirante. S. M., para premiar tan extraordinarias muestras de lealtad á la Ciudad, así como los servicios hechos por D. Santiago Liniers y de xas oficiales, ha declarado que, ademas del ep</t>
  </si>
  <si>
    <t>Generalísimo Almjrante, Príncipe</t>
  </si>
  <si>
    <t>Príncipe Generalísimo Almjrante</t>
  </si>
  <si>
    <t>l déiCástrllbV a D. Josef Demetrio Moreno ,cpra en este obispado. . A'’%rd^uest'a{'áerS.!Ítmo.. Sr. Príncipe Generalísimo Almjrante, en beneficio eje las familias, de. los‘individuos de la expedición española auxiliar de Erar cía, á quienes alejan de su patria las atenciones del servicio , se ha servicio S. M.</t>
  </si>
  <si>
    <t>Generalísimo Príncipe de la Paz, Almirante</t>
  </si>
  <si>
    <t>Almirante Generalísimo Príncipe de la Paz</t>
  </si>
  <si>
    <t>ue truia, pudo salvar oculta en la o pa del sombrero una copia del fiio- dirigido al Serenísimo Sr. Almirante Generalísimo Príncipe de la Paz., que es del teño* jiguiefitefr " Excelentísimo Señor: EtComandante general de la expedición, destina* da á la reconquista deBuenos-Ayres ,,da parte de las particularidades acaeci</t>
  </si>
  <si>
    <t>Generalísimo, Príncipe</t>
  </si>
  <si>
    <t>Príncipe Generalísimo</t>
  </si>
  <si>
    <t>o Práctica de la vida dulce y racional del cristiano. Vida de Bonaparte, dedicada á S. A. S. el Sr. Príncipe Generalísimo, Almirante: tomo 2-0 Se vende en lá librería de Gómez Fuentenebro,caile de las Carretas, y en la de Ranz, calle de la Cruz, á 12 rs. Contiene una noticia exacta de su expedición i</t>
  </si>
  <si>
    <t>vancia de real orden de S. M. de 30 de junio de 1804. Consiguiente á lo dispuesto por el Sermo. Sr. Príncipe Generalísimo. Almirante, y con arreglo á la nueva constitución del colegio y academia militar ds Segovia, se lian celebrado los exámenes públicos de los tres subtenientes que han seguido en el</t>
  </si>
  <si>
    <t>e esta plaza, penetrado de los mas vivos sentimientos de júbilo y gratitud por la elevación del Sr. Príncipe Generalísimo á la alta dignidad de Almirante de España é Indias, y protector del comercio, resolvió en junta de gobierno dar gracias al Todopoderoso;y en efecto, el dia 25 de agosto último se</t>
  </si>
  <si>
    <t>Gensoul</t>
  </si>
  <si>
    <t>s experimentos que se habían mandado hacer para asegurarse de la utilidad del aparato inventado por Mr. Gensoul para calentar, por medio del vapor, el agua de las calderas donde se ponen los capullos para hilar la seda. Los ensayos se han repetido por espacio de 5 ó 6 dias, á presencia del</t>
  </si>
  <si>
    <t>Géofget, Bartolomé</t>
  </si>
  <si>
    <t>Bartolomé Géofget</t>
  </si>
  <si>
    <t>Flamenca, del real cuerpo de Guardias de Corps há promovidp.el¿ Exentó dé nuinero al supernumerario D. Bartolomé Géofget i XWpéáiumerario al Brigadier D. Maximino ;Wandetstéeñe'; á Brl4 gádier al SUbfigaSiér D; Agíistiu Diibóys ; áSubrigadieral Cadete D. Franciséó Vígtféufpá Cadete dé número al supe</t>
  </si>
  <si>
    <t>Georges Canning</t>
  </si>
  <si>
    <t>La gazeta de Londres del 16 contiene lo siguiente: Secretaría, de negocios extrangeros ij de mayo: Mr. Georges Canning , primer secretario de Estado de S. M7 del despacho de negocios extrangeros, ha notificado» hoy á los .ministros de las potencias amigas y neutrales» residen tes en eítacorte, que</t>
  </si>
  <si>
    <t>Gerardo Murfi</t>
  </si>
  <si>
    <t>que sostuvieron las lanchas de fuerza del apostadero de la Guayra, al mando del teniente de fragata D. Gerardo Murfi, contra la fragata de guerra inglesa la Galatea, de porte de 40 cañones de á 18. Las tres lanchas cañoneras y un bote de auxilio, que escoltaban un convoy de buques costaneros, at</t>
  </si>
  <si>
    <t>Gerardo Vázquez de Parga</t>
  </si>
  <si>
    <t>go'22 del corriente se consagró en la iglesia de monges Bernardos de esta corte el Rmo, é Ilmo. Sr. D. Gerardo Vázquez de Parga, obispo de Salamanca, siendo su consagrante el Excmo. y Emo. Sr. Cardenal ae Scalaj arzobispo de Toledo, y asistentes los limos. Sres. D. Francisco de la Cuerda, obispo que fue de</t>
  </si>
  <si>
    <t>Gerdni-no, Príncipe</t>
  </si>
  <si>
    <t>Príncipe Gerdni-no</t>
  </si>
  <si>
    <t>sus habitantes protegen los muchos robos 4 u ? \e hacen, ó tal vez son ellos mismos los autores. El Príncipe Gerdni-no.ha mandado que la ciudad y círculo de Bunzlau paguen el valor de los &gt; caballos que han muerto, y que apronten 4 en lugar de los que se robaron, o entreguen su valor en el término</t>
  </si>
  <si>
    <t>Germano de Salcedo y SomodcvilJa</t>
  </si>
  <si>
    <t>VEKTAS JUDICIAI.ES» El Sr. D. Germano de Salcedo y SomodcvilJa, marques de Fuerte-híjar, del cornejo de S. M. en el supremo de Castilla, juez protector y privativo del real colegio de Niños desamparados de esta corte, ha mandado sacar nuevame</t>
  </si>
  <si>
    <t>Gerona, Juan</t>
  </si>
  <si>
    <t>Juan Gerona</t>
  </si>
  <si>
    <t>Muert. 16'1 ••• 20. Juan Gerona...... ! . . . . de Juan ........ V elez~Rubio .....................18,u •• Mued. . j 18 ••• 10. ~Jos~fSegura .............. d\!.lo~ef".~'" ••. CasteUon</t>
  </si>
  <si>
    <t>Gerónimd Napoleón, Príncipe</t>
  </si>
  <si>
    <t>Príncipe Gerónimd Napoleón</t>
  </si>
  <si>
    <t>imismo serán respetados los caudales pertenecientes á huérfanos y menores de edad. xii. S. A. I. el Príncipe Gerónimd Napoleón ofrece seguridad y protección á la universidad y al observatorio de Breslau; y no consentirá que se toque á sus bibliotecas, ni á sus instrumentos matemáticos y astronómicos. XIII</t>
  </si>
  <si>
    <t>Gerónimo, Príncipe</t>
  </si>
  <si>
    <t>Príncipe Gerónimo</t>
  </si>
  <si>
    <t>rts 15 de Diciembre. DIARIO TRIGESIMOOCTAVO DEL EXERCITO GRANDE. Posen á$ de Diciembre de i8o&lt;T. El Príncipe Gerónimo, que manda lás tropas de los aliados, habiendo estrechado el cerco de Glogau, y levantado baterías al rededor de la plaza, se dirigió con las divisiones Bávaras Wrede y Deroy háci</t>
  </si>
  <si>
    <t>o ha quemado los arrabales de. Breslaw, en .cuy o incendio han perecido algunas mugeres y niños. El Príncipe Gerónimo ha socorridq á aquellos Jnfeliees habitantes. La humanidad ha superado arv.|a¿. leyes ^efe la guerra, que ordenan hacer retroceder á una plaza sitiada J^bpoás inu&amp;ifeg que el enem</t>
  </si>
  <si>
    <t>s núm. 6, y el otro por el SargentoJeníFroy ,’dél Regimiento núm. 3. De eoso el Emperador de qué el Príncipe Gerónimo tuviese ocasión dé-in ?trüirsé éñ el-árté de las batallas, le hizo venir de Silesia. Este-Príncipe ha teñido parte en todos los combates que sé lian dado, y freqüe- temcnté sé há</t>
  </si>
  <si>
    <t>as de 2 regimientos sumamente lucidos, forman la guarnición de Berlin. . . El cuerpo mandado por el Príncipe Gerónimo continúa el .sitio de Breslau. Esta hermosa ciudad se halla reducida á cenizas. Con la esperanza de otra fortuna, y de ser socorrida por los rusos, no ha querido rendirse; pero el</t>
  </si>
  <si>
    <t>se ha Recibido la. noticia de la rendición de la plaza de Breslau al exército aliado, que manda el Príncipe Gerónimo, después de la mas obstinada resistencia. Escriben de l’Orient que el 8 del corriente se botó al agua una fragata de, 44 cañones., llamada la Calipso. ,E1 9 entró en Port-Louis un</t>
  </si>
  <si>
    <t>ha rendido. Los bávaros y wurtembergueses se han señalado por su valor y pericia. A estas horas el Príncipe Gerónimo ha embestido ya, y está sitiando á un tiempo todas las plazas restantes de Silesia, que probablemente no resistirán mucho. £1 cuerpo de io0 hombres, que el Príncipe de Pless había</t>
  </si>
  <si>
    <t>15© hombres encerrados en las plazas de Brieg, Neisse, Schweidnitz y Kossel, que ha embestido ya el Príncipe Gerónimo. Nada diremos del ridículo oficio del General Benigsen, sino que tiene algo de incomprehensible. Parece que reconviene á su compañero el General Buxhowden, quien estaba, dice, en</t>
  </si>
  <si>
    <t>de marchar hacia Breslau para embestir esta plaza por la orilla izquierda del Oder, mientras que el Príncipe Gerónimo, que estaba en Kalisch con 2 divisiones bávaras, venia por la derecha á completar la Operación, y tomar el mando del sitio. Para dar principio á él envió el General Vandamme 3 reg</t>
  </si>
  <si>
    <t>mpaña y cañones de á 6. , -El ió, despues.de hacer fuego desde las 6 hasta las .13 de la mañana, el Príncipe Gerónimo envió al Gobernador de 'Breslau una? intimación, que no prodtrxn efecto*: , •; . - , ^ Algunos morteros y obuses se habían .desmontado por lo viejo de su# cureñas, y hubo que aguard</t>
  </si>
  <si>
    <t>lazas, é intimaba á ios Gobernadores que perderían las cabezas si no cumplían con su obligación. El Príncipe Gerónimo determinó llamar la división Deroy y la bnaada de caballería del General Mazanneliique habían quedado en Kalisch para tomar a Breslau, fuese á viva fuerza, fuese mediante un sitio en</t>
  </si>
  <si>
    <t>Se han encontrado en Brieg, cuya capitulación acompaña (1), ahnacelies,considerables de víveres. El Príncipe Gerónimo .continúa con actividad su campaña en Silesia. El (O No inssrtamos aquí la capitulación, por ser casi ia misma que la de. Breslau. 1</t>
  </si>
  <si>
    <t>^^. sucedido ló peor, á Ió ménos nos hubiérambs 'alojado eh él primer recinto de láplaza'. - e f Él Príncipe Gerónimo, llamado pbr el Emperador , había entregado el tnando del sitio al General Vandamme en la orilla-izquierda del Oder, quedando en ládérécha el General Deroi. ; ; , Apénas había man</t>
  </si>
  <si>
    <t>ación de Breslau, ajustados entre el General Hedouville, Senador, Sumiller de Corps de S. A.. I. el Príncipe Gerónimo.. Napoleón, Gefe del Estado mayor de los aliados, Grande OfLoial de la;Legion de Honor y Gran Cruz de Badén; ;y; eLGáneral.de división Vándam— me, Grande Oficial y Gran Cruz de la</t>
  </si>
  <si>
    <t>para socorrer á Daittzick, que lá de introducir por mar algunos batallones y víveres. En Silesia el Príncipe Gerónimo hace continuar .con mucha actividad él sitió de'Neiss. ¡ Después que él Príncipe de Pless abandonó aquella provincia, -el edecán del Rey de Prusia, barón de Kleist, llegó á Glatz</t>
  </si>
  <si>
    <t>quel puesto, donde se hallaba con su cuerpo de observación. Luego.que se oyó el primer cañonazo, el Príncipe Gerónimo partió de Munsterberg, y llegó á Frankenstein á las diez de la mañana. El enemigo ha sido roto completamente, y perseguido hasta los caminos cubiertos de Glatz; ha perdido 3 cañon</t>
  </si>
  <si>
    <t>algún tiempo, porque las tropas wurtembergesas que sitian aquella plaza carecían de municiones. El Príncipe Gerónimo, que tuvo noticia de esta suspensión, hizo partir un transporte desde Schwidnite, cargado de todo lo necesario para que continuase el fuego contra Neiss. ; GRAN BRETAÑA. Londres 1</t>
  </si>
  <si>
    <t>o. DIARIO SEPTTJ AGESIMOQUARTO DEL EXERCITO GRANDE. Finckenstein 16 de mayo. Habiendo reconocido el Príncipe Gerónimo que tres obras avanzadas de la plaza de Neiss, situadas á la orilla de Bielau, detenían las operaciones del sitio, mandó al general Vandamme que se apoderase de ellas. Este genera</t>
  </si>
  <si>
    <t>s del campo de Boloña. Toda la guardia irá el 17 y 18 á acamparse en el mismo parage. En Silesia el Príncipe Gerónimo ha sentado el campo de su cuerpo de observación en Franckenstein, para proteger el sitio de Neiss. El dia 12 supo el Príncipe que una colima enemiga de 3© hombres habia salido de</t>
  </si>
  <si>
    <t>Neiss, según se habla capitulado. La guarnición, que constaba de 5500 hombres, desfiló delante del Príncipe Gerónimo, y se puso en marcha el mismo dia para Francia en calidad de prisionera de guerra. &lt; El regimiento español de caballería de Algarbe marchó esta mañana á los bailiages de Langenhag</t>
  </si>
  <si>
    <t>de Neiss. [Sepublicaran en la ¿azeta próxima). El 24 de junio, á las 2 de la madrugada, S. A.I. el Príncipe Gerónimo mandó atacar y forzar el campo atrincherado que ocupaban los prusianos á tiro de metralla de la plaza de Glatz. El general Vandamme, á la cabeza de la división wurtemberguesa y un</t>
  </si>
  <si>
    <t>bas volaron un almacén de pólvora, y produxeron un incendio, que consumió muchas casas. S. A. I. el Príncipe Gerónimo, que había llegado el 20 á Ottenachau, mandó suspender el fuego, é intimar la rendición al gobernadorque no dió oidos á la propuesta. Del 20 al 26 no pudieron adelantarse mucho lo</t>
  </si>
  <si>
    <t>completas. Se hace cuenta de-que el general Grandjean tiene 8© hombres en el sitio de Colberg» y el Príncipe Gerónimo de 20 i 25© en Silesia. Ai mariscal Massena se le dan de 45 á 50© hombres. Se calcula, que entre Elbing, Ortelsburgo y Thorn hay 220® hombres, sin comprehender en ellos el cuerpo que</t>
  </si>
  <si>
    <t>a total de las tropas saxonas en la batalla de Eriedland asciende á 17 oficiales y 138 soldados. El Príncipe Gerónimo ha regalado al regimiento saxon de Niesemenschel una bandera de las 4 que tenia la guarnición prusiana de Neiss, en testimonio de su, satisfacción. Hamburgo 6 de julio. El 16 de j</t>
  </si>
  <si>
    <t>partidas prusianas han continuado haciendo daños. Esta conducta extraña ha motivado un decreto del Príncipe Gerónimo, por el qual se manda que toda persona que se halle con armas en la mano en el campo se considere como salteador, y sea castigado como tal. ALEMANIA. Viena 14 de julio. Se ha impr</t>
  </si>
  <si>
    <t>usiana, y para eternizar la memoria de haber estado en su palacio el Emperador de los franceses. El Príncipe Gerónimo, el gran Duque de Berg, el Príncipe de Benevento, el secretario de Estado Maret, el mayordomo mayor Duroc, y el caballerizo mayor Caulincourt tenían la misma*órden. EL mariscal Be</t>
  </si>
  <si>
    <t>las 8 piezas de artillería que cogieron aquellas tropas ep el campo atrincherado ae Glatz, y que el Príncipe Gerónimo envía al Rey de Wirteniberg. Las últimas cartas recibidas de Viena hablan de un plan presentado al Emperador por el Archiduque Carlos, como ministro de la Guerra, para disminuir el</t>
  </si>
  <si>
    <t>Gervasio Caballero</t>
  </si>
  <si>
    <t>l consulado de la misma ciudad de 15 2® rs., que le corresponde como cesionario de los herederos de D. Gervasio Caballero, en quien y su hermana Doña María habían recaído dos créditos de Balbas, pertenecientes á D. Antonio Montero de Espinosa , de 3500 y 4© ducados, impuestos a nombre de D. Francisco</t>
  </si>
  <si>
    <t>nal, proveído en 2 de setiembre de 1805, de 184,950 rs. 20 mrs. á favor de los hijos y herederos de D. Gervasio Caballero, en quien y su hermana Doña María recayeron dos créditos de Balbas contra el consulado de Sevilla de 3500 y 4© ducados, impuestos á nombre de Don Francisco Montero dé Espinosa y d</t>
  </si>
  <si>
    <t>Giiiral Muñoz de Salazar y Gamiz, Juan</t>
  </si>
  <si>
    <t>Juan Giiiral Muñoz de Salazar y Gamiz</t>
  </si>
  <si>
    <t>o y XiVnenez, D. Antonio Primó dé Ribera Oítiz de Pinedo, D. Agustín Alcalá Galiano Arias y Vargas, Don Juan Giiiral Muñoz de Salazar y Gamiz, y D. Francisco Cárdenas Villavi'-í céricío y Dávila. ~ ‘ ' cosen;::; Con Real-permiso, y á beneficio de los pobres enfermos de los Reales</t>
  </si>
  <si>
    <t>Gil de Sagredo, Ignacio</t>
  </si>
  <si>
    <t>Ignacio Gil de Sagredo</t>
  </si>
  <si>
    <t>n Agustín Vallarínoy Pomar: para la vara de alcalde mayor de la ciudad del Puerto de. Santa María á D. Ignacio Gil de Sagredo: para la de la villa de Almansa á D. Manuel Josef de Vilches: para ia de ia villa de Motilla del Palancar á D. Manuel Pe rez de los Ríos: para la de las nuevas poblaciones de Anda</t>
  </si>
  <si>
    <t>Gil de Taboada y Lemos, Felipe</t>
  </si>
  <si>
    <t>Felipe Gil de Taboada y Lemos</t>
  </si>
  <si>
    <t>o, tasada en 946,710 rs., y retasada en 856,890 rs. Quien quisiere hacer postura, acuda ante el Sr. D. Felipe Gil de Taboada y Lemos, alcalde de casa y corte, por la escribanía de D. Mauricio Justo’dcl Rincón; y se previene que en el caso de no concurrir postor pasado dicho término, se adjudicará á la real caxa</t>
  </si>
  <si>
    <t>re hacer mejora, acuda (dentro de los 20 dias, que concluyen el 3 de noviembre próximo) ante el Sr. D. Felipe Gil de Taboada y Lemos, alcalde de casa y corte, por la escribanía de provincia de D. Mauricio Justo del Rincón; y no haciéndolo, y pasado dicho término, se declarará por bien hecho el remate y pago ref</t>
  </si>
  <si>
    <t>Gil de Taboada, Felipe</t>
  </si>
  <si>
    <t>Felipe Gil de Taboada</t>
  </si>
  <si>
    <t>de las órdenes militares, que existe dentro la casa de los Reales.Consejos. Por providencia del Sr. D. Felipe Gil de Taboada, Alcalde de Casa y Corte, se ha mandado emplazar, por término de 30 dias contados desde el 5 del corriente, á los iégitimos herederos de D. Manuel Dávila , vecino que fué de esta</t>
  </si>
  <si>
    <t>s, en su ausencia y rebeldía, conforme a derecho, y Ies parará el p.rjui ‘m Por providencia del Sr. D. Felipe Gil de Taboada, alcalde de casa J CMU. N ha mandado emplazar nuevamente, por ultimo y P^rCvl 0rl | rv- ¡i vecuio aue contados desde t i del corriente, á los herederos de D. Manuelfavila ™ £« fue</t>
  </si>
  <si>
    <t>Gil de Tejada, Pedro</t>
  </si>
  <si>
    <t>Pedro Gil de Tejada</t>
  </si>
  <si>
    <t>Isidoro García Plaza. En Jaén............... D. Pedro y D. Juan Esponera. En León................. D. Pedro Gil de Tejada. En Málaga........... D. Juan Xímeno. En Mahon............. Doña Catalina Germán y Hugalde. En Murcia............ Sres. Moreda y Ladalid. En Oviedo.............. D. Manuel Rubiano</t>
  </si>
  <si>
    <t>Gil Fernan, Diego</t>
  </si>
  <si>
    <t>Diego Gil Fernan</t>
  </si>
  <si>
    <t>a aprobado eL segundo remate ¡celebrado -en 18 de:fehrerQ/.ptóxtmo pasado por la audiencia del Sir. D. Diego Gil Fernan•dez, del consejo de. S. M., alcalde en su real casa y corte, de una casa sita en ella en la calle de Silva, núm. 6, manz. 446, cuyo remate se verificó en 88,500 rs. en vales reale</t>
  </si>
  <si>
    <t>Gil Fernández, Diego</t>
  </si>
  <si>
    <t>Diego Gil Fernández</t>
  </si>
  <si>
    <t>sta Corte,. núm. 6 ihanz. 446, celebrado err 24 de Noviembre próximo pasado en la audiencia del Sr. D. Diego Gil Fernandez, Alcalde dé Casa y Corte, en 88,232 rs. á pagar en* vales Reales, y ha señalada 30- dias para la mejora del quarto, contados desde 20de Diciembre último. Quien quisiere hacerla ac</t>
  </si>
  <si>
    <t>6, manz. 446, tasada en 87,432 rs., y ser xemafó en 24 de noviembre último por la audiencia del Sr. D. Diego Gil Fernandez, Alcalde de casa y corte, en.88,23 2 rs. á pagaren vales reales ; y para su nuevo remate está señalado el dia 18 del corriente, á las 12 de su mañana, en la escribanía de D. Juan</t>
  </si>
  <si>
    <t>ra acuda ante dicho señor y citada escribaníd hasta el dia 5 deí corriente. Por providencia del Sr. D. Diego Gil Fernandez, del consejo de S.M., alcalde en su real casa y corte, está mandado. Faéár &gt;á pública subasta, por término dé 30 dias contados desde el‘ 20 dé marzo último, 4 pedazos de tierra si</t>
  </si>
  <si>
    <t>emate se ha señalado para el dia 4 de Mayo prójimo en Ja citada escribanía. Por providencia del Sr. D. Diego Gil Fernandez, del consejo de S. M., alcalde en su real casa y corte, y escribanía de D. Juan Antonio Diaz Noriega , se ha mandado publicar por 20 días mas una casa sita en esta corte en la cal</t>
  </si>
  <si>
    <t>que se les propusieron á satisfacción de todo el concurso : habiendo presidido el exereicio el Sr. D. Diego Gil Fernandez, del consejo de S. M., y alcalde de casa y corté; y siendo tan notoria la utilidad que resulta á todos los que se quieran dedicar al comercio, y manejo de papeles comerciales é in</t>
  </si>
  <si>
    <t>a señalado el término de 30 dias para la mejora del quarto de varios remates celebrados ante el Sr. D. Diego Gil Fernandez, alcalde de casa y corte, por la escribanía de D. Juan Antonio Díaz Noriega, á saber: 3 tierras en término del lugar de Valiecas, tasadas en 11,325 rs., remata</t>
  </si>
  <si>
    <t>s., acuda en el término de 30 dias ante el dicho señor y citada escribanía. Por providencia del Sr. D. Diego Gil Fernandez, alcalde de casa y corte, se ha mandado sacar á pública subasta, por término de 30 dias contados desde 18 del corriente, una casa sita en esta corte en la calle de Cantarranas, nú</t>
  </si>
  <si>
    <t>ada en,3150 rs. Quien quisiere hacer postura acuda ante dicho señor y citada escribanía* ; ¡ El Sr. D. Diego Gil Fernandez, alcalde de casa y corte, ha señalado el 14 del corriente, en la escribania.de P. Juan Antonio Díaz Noriega, para el remate de una casa sita en esta corte, calle de Cantarranas, n</t>
  </si>
  <si>
    <t>Luis de Mata y Araujo, en su casa calle de los Jardines, núm. 52. Presidió estos exercicios el Sr. D. Diego Gil Fernandez, del consejo de S. M., alcalde de su real casa y corte..1 Hizo la apertura ¿1 dia i.° D. Pedro García Pinilíos con un discurso sobre las utilidades que proporciona al estado la bu</t>
  </si>
  <si>
    <t>provincia ha mandado se vuelva á publicar una casa, que se está subastando por la audiencia del Sr. D. Diego Gil Fernandez, alcalde de casa y corte, y escribanía de D. Juan Antonio Diaz Noriega, sita en la calle de Cantarranas, núm. 1 2 , manz. 228 , tasada en 114,296 rs., y dan por ella la* dos terce</t>
  </si>
  <si>
    <t>rs., que se remató en la misma cantidad en vales reales por la audiencia del señor alcalde de corte D. Diego Gil Fernandez, se ha señalado para su nuevo remate el dia n del corriente en la escribanía de provincia de D. Juan Antonio Díaz Noriega. Quien quisiere comprar tres majuelos existentes en el lu</t>
  </si>
  <si>
    <t>, núm. 12, manz. 228, tasada en 114,296 rs., que se remató en 15 del mismo por la audiencia del Sr. D. Diego Gil Fernandez, alcalde de casa y corte, y escribanía de provincia de D. Juan Antonio Díaz Noriega, en las dos terceras partes de su tasación en moneda metálica de cordoncillo, con la calidad de</t>
  </si>
  <si>
    <t>n la academia pública de comercio, que con la real aprobación de S. M., y al cuidado y zelo del Sr. D. Diego Gil Fernandez, alcalde de casa y corte, se halla establecida en la calle del Caballero de Gracia, número 9, quarto 2.0, baxo la dirección de D, Miguel Dolz, profesor de matemáticas, se dará pri</t>
  </si>
  <si>
    <t>Gil María Crespo</t>
  </si>
  <si>
    <t>e dicho señor , quien ha señalado el dia 17 del presente para su remate. , , Por el juzgado del $r. D. Gil María Crespo, teniente gobernador del real sijtio de Aranjuez, se está subastando un olivar correspondiente á la testamentaría de Lorenzo Rodríguez, sito en término de la villa de Yepes, donde</t>
  </si>
  <si>
    <t>Gil Sancho, Pablo</t>
  </si>
  <si>
    <t>Pablo Gil Sancho</t>
  </si>
  <si>
    <t>de D. Salvador Puicercus á canongía de la catedral de Huesca, á D. Estéban de la Gándara Gereda: á D. Pablo Gil Sancho para una capellanía real de nuestra señora del Portillo de Zaragoza: á 1&gt;. Juan Sala y Riera para un beneñcio de la parroquial de Alcalá de Chibert, diócesi de Tortosa, vacante po</t>
  </si>
  <si>
    <t>Gil y Mas, Antonio</t>
  </si>
  <si>
    <t>Antonio Gil y Mas</t>
  </si>
  <si>
    <t>quín Escandon; el de teniente al subteniente D. Francisco Romagosa, y el de subteniente al teniente D. Antonio Gil y Mas, segundo ayudante de la plaza de Palma. En atención á los méritos y servicios de D. Ramón Jove Dasmariñas y Navia, regidor perpetuo de la ciudad de Oviedo, y á lo ilustre de su fa</t>
  </si>
  <si>
    <t>Gil, Antonio</t>
  </si>
  <si>
    <t>Antonio Gil</t>
  </si>
  <si>
    <t>cada uno sobre el punto que les había tocado por suerte, á saber: D. Santiago Pescador de estática: D. Antonio Gil del cálculo integral: D. Tomas Polo de dinámica: D. Clemente Ocaña de la aplicación del álgebra á la geometría: D. Francisco Gavás del álgebra; y D. Manuel María Cevalios de geometría</t>
  </si>
  <si>
    <t>tades de química, agí icultura, economía política, y matemáticas, primorosamente enquadernados; y á D. Antonio Gil como sobresaliente en primer lugar y acreedor al primer premio de justicia en matemáticas, ademas de los libros que se le adjudicaron, se le dio una medalla de oro: recibieron est</t>
  </si>
  <si>
    <t>Gil, Diego</t>
  </si>
  <si>
    <t>Diego Gil</t>
  </si>
  <si>
    <t>le S del corriente de 1» intendencia de esta Ptormci.se ha aptobado el remate celebrado ante el Sr. D. Diego Gil e* * , «ccfesoL corte, en 17 de julio anterior, de una casa sita en la cal ce ® » rías á la del Portillo, núm. 3 , manz. 539, retasada en I03»30 tidad se verificó el rímate , y para</t>
  </si>
  <si>
    <t>Gil, Francisco</t>
  </si>
  <si>
    <t>Francisco Gil</t>
  </si>
  <si>
    <t>rina, he venido, conformándome con vuestra propuesta , en nombrar para deseiñpeñarle al baylío Frey D. Francisco Gil, por la particular satisfacción que me merece por su conocida instrucción, y por su distinguido zeio y amor á mi persona. Tendrcislo entendido, y lo comunicareis á quienes corresp</t>
  </si>
  <si>
    <t>de Gurrraj D. Miguel Cayetano-Soler, secretario de Estado y del despacho de Hacienda ‘r Baylío Fr. D. Francisco Gil, capiraa generaL de la real armada, y secretario de Estado y del despacho de Marina^</t>
  </si>
  <si>
    <t>Gilman, Antonio</t>
  </si>
  <si>
    <t>Antonio Gilman</t>
  </si>
  <si>
    <t>rol y Cartagena. Elementos de geometría con notas, por A. M. Legendre, traducidos al castellano por D. Antonio Gilman. Esta obra ha merecido elogios de todos los matemáticos extrangeres, y en corto número de años se han hecho en Francia 5 ediciones. Legendre se ha inmortalizado con su geometría,</t>
  </si>
  <si>
    <t>Gilman, Félix</t>
  </si>
  <si>
    <t>Félix Gilman</t>
  </si>
  <si>
    <t>de Zarate, D. Juan de Abrana, D. Pedro Cendeja, D. Pablo Unda, el cadete de reales guardias Walonas D. Félix Gilman, D. Pablo Ferrando, cadete del regimiento de infantería de Soria, D. Manuel Entreambasaguas, D. Pedro Sánchez Pavón, D. Joaquín Gaidiano', D. Josef'María Jussué, D. Josef Baquedan</t>
  </si>
  <si>
    <t>Gine</t>
  </si>
  <si>
    <t>, tasadas en £1,499 rs* Para tratar de ajuste se acudirá en dicha ciudad á D.Felipe Gómez Tortosa ó D. Gine* Pablo Meca, y en Madrid á D.Bernardo de Cepeda, que vive en la calle de los Gitanos', núm. 11, quarto 2.0 Quien quisiere hacer obligación de surtir de 4© arrobas menores ó sisada</t>
  </si>
  <si>
    <t>Gines Bruesco</t>
  </si>
  <si>
    <t>62 9 ... 12 • Cabo 2.° Gines Bruesco.......... de Antonio... Cara vaca"........ .............. 1796.• Lic~ne. 85"· 7· Gregorio Gonzalez. de Josef. ....... VilLoria de Benavides</t>
  </si>
  <si>
    <t>Gines de Sepulveda, Juan</t>
  </si>
  <si>
    <t>Juan Gines de Sepulveda</t>
  </si>
  <si>
    <t>.......... I —■ ■■ ' II» ■ ' I II——■ Continuación, del origen de las medidas lineales de España* El Dr. Juan Gines de Sepulveda aseguró que el pie antiguo españoleta» iguál ai pie rortauo; pero este pie de que habla es el pie colociano, que el mismo Sepúlveda vio en Roma, y del qual dice haber traído una c</t>
  </si>
  <si>
    <t>Gines de Sepúlveda, Juan</t>
  </si>
  <si>
    <t>Juan Gines de Sepúlveda</t>
  </si>
  <si>
    <t>que las onzas 'romanas antiguas son menores que las nuestras (2). El pie colociano, de qué habla el Dr. Juan Gines de Sepúlveda, lo midiéron Picard y Auzout, y lo hallaron de 0-53,3-líneas dél "pie español (3)La-Hire dice de este pie lo siguiente : Se ye en Roma sobre dos sepulcros de^mármol, de dos arquit</t>
  </si>
  <si>
    <t>Ginturri, Juan</t>
  </si>
  <si>
    <t>Juan Ginturri</t>
  </si>
  <si>
    <t>la colegial'de Castellvo, diócesi de Urgel, vacante por fallecimiento de D. Isidoro Belle" ra; y á D. Juan Ginturri para la canongía llamada Sacristía, de la misma colegial de Castellvo, vacante por muerte de D. FranciscoCarlá. S. M. se ha servido conceder gTado de coronel de infantería á los t</t>
  </si>
  <si>
    <t>Gir, Agustín</t>
  </si>
  <si>
    <t>Agustín Gir</t>
  </si>
  <si>
    <t>n segundo al teniente~de granaderos D. Francisco Zelger: en el de Betschart á subteniente al cadete D. Agustín Gir; y en el de Preux á teniente al subteniente .de granaderos D. Federico Quartery; y á subteniente de bandera al cadete D. Guillermo Kalbérmaten. ' * Hv S. M. ha nombrado para la pl</t>
  </si>
  <si>
    <t>Giraldo, Pedro</t>
  </si>
  <si>
    <t>Pedro Giraldo</t>
  </si>
  <si>
    <t>7*4 pañolas; y á brigadier i D. Pedro Giraldo, coronel del real cnerpo de lagenieros. £1 Rey se ha servido nombrar ministro del consejo supremo de la Guerra al teniente general marques de las Amarillas, virey y capitán ge-/ n</t>
  </si>
  <si>
    <t>Girard, General</t>
  </si>
  <si>
    <t>General Girard</t>
  </si>
  <si>
    <t>s nuevos conscriptos servirán 4 años y 4 meses solamente» y los desertor es perderán sus bienes. El General Girard , Edecán del Gran Duque de Berg, ha ido á Viena con pliegos para el gabinete austríaco. Francfort 25 de enero. Escriben de Berlín, con fecha de 20 del corriente, que el quartel ge</t>
  </si>
  <si>
    <t>Giraud</t>
  </si>
  <si>
    <t>ich, primer cirujano de la casa, con^tanto zelo y humanidad como inteligencia, baxo la dirección de:Mr. Giraud, quien tiene orden de permanecer en Leída todo el tiempo que sea necesaria su presencia.—.S. M. queriendo dar una prueba de¡ lo satisfecho, que se halla de la, diligencia y activi</t>
  </si>
  <si>
    <t>Gis, Vicente</t>
  </si>
  <si>
    <t>Vicente Gis</t>
  </si>
  <si>
    <t>los dei Príncipe, Infante y Farnesio ehi-t píeos de alférez á los portaestandartes D. Pedro Ramos, D. Vicente Gis— bert y D. Benigno Arévalo; y en el de Alcántara ayudantía al teniente D. Clemente Fernandez. v También se ha servido el rey conferir la tenencia coronela del regimiento de dragon</t>
  </si>
  <si>
    <t>Gispert, Bartolomé</t>
  </si>
  <si>
    <t>Bartolomé Gispert</t>
  </si>
  <si>
    <t>tedral de Ibiza, para lá canongía de la colegiata de Pons, diócesi de Urgel, bacante por ascenso de D. Bartolomé Gispert á otra canongía de la colegiata de Guisona, en la misma diócesi: á D. Matias Sapiens para el beneficio segundo de nuestra señora de la Esperanza, vacante en la parroquial de S. Cu</t>
  </si>
  <si>
    <t>gobernador Alí-bei</t>
  </si>
  <si>
    <t>os primeros que hubieran perecido. En estas circuns¿ tancias, el 12 de abril el gobernador Alí-bei envió á pedir al cónsul de España D. Josef Camps un empréstito de 10© piastras del país. A la negativa del cónsul respondió con fieros y amenazas , y á las refle</t>
  </si>
  <si>
    <t>Gobernador General Clarke</t>
  </si>
  <si>
    <t>onarámeniualmente el sueldccqüe disfrutaba deJk}d~MariscaL Ayer pasó revista el Gobernador General Clarke á 2 Regimientos de coraceros, qu^, vienen de Italia para completar la nueva división que está formándose,aq|uii baxp las órdenes del General Spagne. (Gazeta de</t>
  </si>
  <si>
    <t>gobernador Lasalcette</t>
  </si>
  <si>
    <t>a en un pais conquistado. En sn lugar se ha creado una junta administrativa. El gobernador Lasalcette ha mandado que la que existía con nombre de comisión executiva, continúe como hasta aqui exerciendo sus funciones; pero en atención al mayor cúmulo de negocios</t>
  </si>
  <si>
    <t>consultivo. Se enviará tan subdelegado á cáda provincia, el qual le nombrará el gobernador Lasalcette, eligiendo entre tres sug^tos que le proponga la misma ¡unta. El subdelegado no tendrá facultades para determinar por sí cosa alguna, sino que se limitará á da</t>
  </si>
  <si>
    <t>gobernador Mr</t>
  </si>
  <si>
    <t>is d Mr. Juan Bawstree. Cambaya 6 de agosto de 1806. Se dice que nue tro actual gobernador Mr. Duncan va á salir para Inglaterra. Esta mudanza causará una satisfacción</t>
  </si>
  <si>
    <t>res de milicias, decretada por el presidente de los Estados-Unidos, ha hecho el gobernador Mr. Tomas Mackean una proclama , que en substancia dice asi: ,, El honor, la libertad y la independencia de los Estados-Unidos se hallan en el día amenazadas por</t>
  </si>
  <si>
    <t>gobernador Tómkins</t>
  </si>
  <si>
    <t>as corpus, con ánimo de sacrificarle con mas seguridad á sus resentimientos. El gobernador Tómkins acaba de recibir, orden del gobierno para juntar 12® hombres de las milicias del estado de Nueva-Yorck, y el secretario de Estado encargado de la marina ha man</t>
  </si>
  <si>
    <t>Godinq, Vicente</t>
  </si>
  <si>
    <t>Vicente Godinq</t>
  </si>
  <si>
    <t>ara, Alcalde del crimen honorario de la Audiencia dé Extremadura: para la de la ciudad de Badajoz á D. Vicente Godinq| y para, la.de la ciudad de Valladolid á D. Josef María Otero» S. M. se ha servido conceder honores de Intendente de exército al Contador mayor decano del tribunal de cuentas de B</t>
  </si>
  <si>
    <t>Godoy, Manuel</t>
  </si>
  <si>
    <t>Manuel Godoy</t>
  </si>
  <si>
    <t>etos /de seis de Agosto y quatro de Octubre de mil ochocientos uno confié al zelo y talentos de ros Don Manuel Godoy, Príncipe de la Paz, el importante encargo de Generalísimo de mis Armas de mar y tierra, fué mi intención el revestiros de las mas amplias y omnímodas facultades para el exercicio</t>
  </si>
  <si>
    <t>Gogd, Luis</t>
  </si>
  <si>
    <t>Luis Gogd</t>
  </si>
  <si>
    <t>subteniente de granaderos al de fusileros D. Valero Gareau : en el de Betschart á capitán segundo á D. Luis Gogd, ayudante graduado de teniente coronel; á ayudante al teniente de granaderos D. Vicente Meyer; á teniente de granaderos al de fusileros D. Alberto Fee; á teniente de fusileros al</t>
  </si>
  <si>
    <t>Golfín, Antonio</t>
  </si>
  <si>
    <t>Antonio Golfín</t>
  </si>
  <si>
    <t>ntos de gramática castellana y latina, del cargo de D. Vicente Cosgaya, D. Josef Chacón el primero, D. Antonio Golfín el segundo. En la de sintaxis, propiedad y prosodia, del cargo de D. Antonio Salas, D. Francisco Melgarejo el primero, D. Josef Viedma el segundo. En la de poética y retórica , del</t>
  </si>
  <si>
    <t>Gómez García, Miguel</t>
  </si>
  <si>
    <t>Miguel Gómez García</t>
  </si>
  <si>
    <t>la fiscalía del crimen de la audiencia de Sevilla, por renuncia de Don Fnlgencio Rubín de Celis, á D. Miguel Gómez García, en consideración al mérito que ha contraido en la persecución de malhechores y contrabandistas. JEn atención á los dilatados y apreciables servicios del intendente de exército D.</t>
  </si>
  <si>
    <t>Gómez González, Gerónimo</t>
  </si>
  <si>
    <t>Gerónimo Gómez González</t>
  </si>
  <si>
    <t>0473 , renovado en favor de los Sres. Amandi y sobrino, vecinos de esta villa, endosado por estos á D. Gerónimo Gómez González , y este á D. Pascual Lamparero , presbítero en León. Quien supiere de él, avisará á dichos Sres. Amandi y sobrino, calle dé la Montera,, núm* 14, y en León á D. Gerónimo Gómez Go</t>
  </si>
  <si>
    <t>Gómez Serrano, Gabriel</t>
  </si>
  <si>
    <t>Gabriel Gómez Serrano</t>
  </si>
  <si>
    <t>d de abad de Hermidas de la catedral de Palencia, vacante por muerte del señor cardenal de Yorck, á D. Gabriel Gómez Serrano, cura párroco del lugar de Valdeprados, diócesi de Segovia; y para una ración ¿Je la colegial de Antequera, diócesi de Málaga, vacante por ascenso de I). Matías</t>
  </si>
  <si>
    <t>Gomez, Andrés</t>
  </si>
  <si>
    <t>Andrés Gomez</t>
  </si>
  <si>
    <t>Rioja, Aragón y Navarra, huertas-,, viñas y olivares. Quien quisiere tratar de ello podrá acudir á Don Andrés Gomez.de la Serna, vecino de dicha villa, ó á D. Antonio, su hermano,, que lo es de Castelruiz, jurisdicción de Agreda.libros. Adiciones-á la práctica universal forense de los tribunale</t>
  </si>
  <si>
    <t>Gómez, Gerónimo</t>
  </si>
  <si>
    <t>Gerónimo Gómez</t>
  </si>
  <si>
    <t>Isidoro García Haza. ~En Jaén................ D. Pedro y D. Juan Esponera. En León................ D. Gerónimo Gómez.1' , ' : En Malaga.......... D. Juan Xinieno. ;i -: » h = En Makon........... Doña Catalina Germán f Hugaldé. En Murcia..... ...... Sres. Moreda y Ladalkh En Oviedo.......... D. M</t>
  </si>
  <si>
    <t>Gómez, Manuel</t>
  </si>
  <si>
    <t>Manuel Gómez</t>
  </si>
  <si>
    <t>os D. Ventura de Mora; á capitán al ayudante D. Santiago Mora; á ayudante al teniente de granaderos Don Manuel Gómez; á teniente de granaderos al de fusileros D. Francisco del Castillo; á tenientes á los subtenientes de granaderos D. Millan Moreno y D. Marcos Quíntela; á subtenientes de granader</t>
  </si>
  <si>
    <t>Gómez, Pedro</t>
  </si>
  <si>
    <t>Pedro Gómez</t>
  </si>
  <si>
    <t>rentes pueblos del partido de la ciudad de Guadalaxara, despachado en cabeza de Pedro Gómez, vecino y jurado que fue de la misma, declarado por vacante, con aplicación al real fisco y cámara, en contradictorio juicio, y mandado vender, acuda ante el teniente corregidor subdelega</t>
  </si>
  <si>
    <t>Gómez, Salvador</t>
  </si>
  <si>
    <t>Salvador Gómez</t>
  </si>
  <si>
    <t>Rozas y Negrete, se cita, llama y emplaza á los acreedores de los bienes que quedaron por muerte de D. Salvador Gómez, del comercio que fue de esta corte, para que en el término de 15 días contados desde esta publicación, comparezcan ante dichos señores y citada escribanía i exponer lo que a su d</t>
  </si>
  <si>
    <t>Gómez, Santiago</t>
  </si>
  <si>
    <t>Santiago Gómez</t>
  </si>
  <si>
    <t>to de infantería del Príncipe y en el batallón de voluntarios de Barbastro á los sargentos primeros D. Santiago Gómez y D. Antonio Salgado. S. M. ha tenido á bien promover á teniente al subteniente del real cuerpo de artillería D. Ramón de Palacio. En América. El Rey se ha servido nombrar para una ra</t>
  </si>
  <si>
    <t>Gon, Antonio</t>
  </si>
  <si>
    <t>Antonio Gon</t>
  </si>
  <si>
    <t>anuelMartmez, capitán del cuerpo de; caballería de blandengues de la frente ra de Buenos- Ay res; a D. Antonio Gon zale z Valcarce, espitan del cuerpo de caballería de blandengues de la frontera de Buenos-Ayres: grados de ¿tenientes coroneles de milicias á D. Juan Balbin</t>
  </si>
  <si>
    <t>Gonzaléfe, Diego Benigno</t>
  </si>
  <si>
    <t>Diego Benigno Gonzaléfe</t>
  </si>
  <si>
    <t>a denunciada'pote Policía; tasada en 5-9,780' rs. Quien quisiere comprarla acuda á la escribanía:de D. Diego Benigno Gonzaléfe dentro dfe 30 dias contados desde 3 del corriente; í ? ¿ ' - En virtud de providencia del Sr. Alcalde D. Francisco López Lisperguet se har mdndado sacar á pública subasta, por términ</t>
  </si>
  <si>
    <t>González Alameda, Antonio</t>
  </si>
  <si>
    <t>Antonio González Alameda</t>
  </si>
  <si>
    <t>no lo practicaren en el término de un mes contado desde ei * del presente. Por providencia del-Sr. D. Antonio González Alameda, corregidor de la ciudad de Segovia, y escribanía de Bernardo Gila, su fecha 2 1 de marzo ¿Itimo, se ha mandado que el sucesor de IX Francisco Velazquez de Riofrio y demas persona</t>
  </si>
  <si>
    <t>González Alonso, Domingo</t>
  </si>
  <si>
    <t>Domingo González Alonso</t>
  </si>
  <si>
    <t>isión de D. Josef Duro y Solano, electo Arcediano titular y Canónigo de la Catedral de Calahorra, á D. Domingo González Alonso, con retención del Beneficio simple de Ganamé de Sayago, que disfruta en la Diócesi de Zamora. El Rey se ha servido conceder en el Regimiento de infantería de la Reyna Tenencia al</t>
  </si>
  <si>
    <t>de la Parrilla&gt; en la misma diócesi de Cuenca, vacante por muerte de D. Mignel Santa Cruz López., á D. Domingo González Alonso, con retención del préstamo de Ganaraé de Sayago, en la diócesi de Zamora, que disfruta en virtud de real decreto de 15 de abril de 1804, prestamera de la parroquia de S. Pedro,de</t>
  </si>
  <si>
    <t>González Alonso, Juan</t>
  </si>
  <si>
    <t>Juan González Alonso</t>
  </si>
  <si>
    <t>igo de la de Patencia, á quien tuvo á bien de nombrar para ella por decreto de 31 de mayo último, á D. Juan González Alonso, director espiritual del real seminario de Nobles de lá villa de Madrid, nombrado igualmente por otro decreto de 14 de junio siguiente para la de Falencia , que debió; resultar va</t>
  </si>
  <si>
    <t>González Alvaro, Vicente</t>
  </si>
  <si>
    <t>Vicente González Alvaro</t>
  </si>
  <si>
    <t>ia imperial de Sta. María de Palacio de Logroño, diócesi de Calahorra, vacante por fallecimiento de D. Vicente González Alvaro, á D. Francisco Xavier Blazquez y Alava; y para dos beneficios patrimoniales déla parroquia de Falces, en la diócesi de Pamplona, vacantes por muerte de D. Manuel Maya García y Do</t>
  </si>
  <si>
    <t>González Azaola, Gregorio</t>
  </si>
  <si>
    <t>Gregorio González Azaola</t>
  </si>
  <si>
    <t>actual de la química, se considera entre los sabios como la mas completa y metódica, se traduce por D. Gregorio González Azaola, y se imprime de cuenta de S. M. en la imprenta real á benefi-io de los que se dedican á las ciencias naturales , con notas dé D. Luis Proust, catedrático de química del real labo</t>
  </si>
  <si>
    <t>a obra, y 18 los no suscriptores. Cartilla para los labradores que quieran hacer azúcar de uva, por D. Gregorio González Azaola. Explícanse en ella con la posible claridad y sencillez las operaciones necesarias para que qualquiera labrador pueda sacar del mosto un azúcar casero para sustento y regale de su</t>
  </si>
  <si>
    <t>iamos.__ Los que tengan ^ue escribir algo sobre ti asunto, se servirán dirigir sus cartas francas á D. Gregorio González Azaola, profesor del real Laboratorio. VENTA JUDICIAL. Por decreto de 23 de setiembre próximo pasado, de la intendencia cíe esta provincia, se ha aprobado el remate celebrado ante el Sr.</t>
  </si>
  <si>
    <t>González Barrcyro, Ángel</t>
  </si>
  <si>
    <t>Ángel González Barrcyro</t>
  </si>
  <si>
    <t>os, quarteles ó calles que se necesiten empedrar, acuda á la secretara de ayuntamiento del cargo de D. Angel González Barrcyro, en d</t>
  </si>
  <si>
    <t>González Barreyro, Ángel</t>
  </si>
  <si>
    <t>Ángel González Barreyro</t>
  </si>
  <si>
    <t>das y calles de Madrid, llamadas de dia v noche, acuda á la secretaría de ayuntamiento del cargo de D. Angel González Barreyro á presenta* sus proposiciones: por lo respectivo á la paja «n el término de 1 5 días, y la cebada en el de 20 contados desde el 29 de setiembre último, admitiéndose las posturas d</t>
  </si>
  <si>
    <t>do de calles y faroles de serenos de esta villa, acuda á la secretaría de ayuntamiento del cargo de D. Angel González Barreyro, donde se manifestarán las condiciones ó supuestos sobre que debe recaer la contrata, á presentar sus proposiciones; adviniéndose está señalado el dia 22 del corriente para su rem</t>
  </si>
  <si>
    <t>González Barreyro, Antonio</t>
  </si>
  <si>
    <t>Antonio González Barreyro</t>
  </si>
  <si>
    <t>e Madrid, llamadas de día y noche, acuda á la Secretaría dé Ayuntamiento de esta villa del cargo de D. Antonio González Barreyro, á presentar sus proposiciones en el término de 15 días, contados desde 27 de Diciembre último, que se admitirán las posturas que se hicieren en porciones pequeñas que né baxen de</t>
  </si>
  <si>
    <t>as y calles de Madrid , llamadas de día y noche, acuda á la secretaría de ayuntamiento del cargo de D. Antonio González Barreyro á presentar sus proposiciones en el término de 15 dias, contados desde 13 del presente , y está hecha postura á ioS arrobas de paja al precio de 19 quartos cada una, admitiéndose</t>
  </si>
  <si>
    <t>González Barreyto, Antonio</t>
  </si>
  <si>
    <t>Antonio González Barreyto</t>
  </si>
  <si>
    <t>s y calles de Madrid, llamadas de día y noche , acuda á la secretaría de ayuntamiento, del cargo de D. Antonio González Barreyto, á presentar sus proposiciones; y está señalado para su remate el dia 27 del corriente.</t>
  </si>
  <si>
    <t>González Breto, Antonio</t>
  </si>
  <si>
    <t>Antonio González Breto</t>
  </si>
  <si>
    <t>ien supúre de su paradero se servirá avisar á D. Francisco Hurtado, presbítero en dicho pueblo, ó á D. Antonio González Breto, oficial de la tesorería general en esta corte. libros. Vida de Bonapartc , dedicada á S. A. el Sermo. Sr. Príncipe Generalísimo Almirante: tomo 7.0 Se vende, con los anteriores,</t>
  </si>
  <si>
    <t>González Carboncll, Diego</t>
  </si>
  <si>
    <t>Diego González Carboncll</t>
  </si>
  <si>
    <t>mé Lebrón ; y en los de dragones del Rey y húsares de María Luisa empleos de" Alférez al Portaguión D. Diego González Carboncll, y al Cadete D. Gabriel Lobo. En América. El Rey se hibdignado conferir el Regimiento de infantería de Cuba al Coronel D. Joseí* Sastre, Teniente Coronel del de infante—' ría de l</t>
  </si>
  <si>
    <t>González Carvajal, Tomás</t>
  </si>
  <si>
    <t>Tomás González Carvajal</t>
  </si>
  <si>
    <t>mal que prueba el temperamento de las nuevas poblaciones de Sierra~morena • al intendente de ellas D, Tomas González Carvajal, ha venido el Rey en relevarle de esta intendencia, hasta que se le coloque en las sucesivas vacantes de esta clase; y ha nombrado S. M. para sucederle á D. Baltasar Fernandez, co</t>
  </si>
  <si>
    <t>González Castañon, Carlos</t>
  </si>
  <si>
    <t>Carlos González Castañon</t>
  </si>
  <si>
    <t>1202 ordinario del gobierno é intendencia de Comayagna, en el reyno de Goatémala, á D. Carlos González Castañon , abogado de los reales consejos; y para otra plaza de agente -del número de los de Indias á D. Lorenzo Martínez Román Cayon. El capitán de fragata D. Antonio Bacaro, comandante i</t>
  </si>
  <si>
    <t>González de Castejon, Francisco</t>
  </si>
  <si>
    <t>Francisco González de Castejon</t>
  </si>
  <si>
    <t>-, militares y de mas sugetos de carácter. El director segundo, brigadier de *los reales exércitos, D. Francisco González de Castejon abrió la sesión por un discurso propio de las circunstancias. En seguida el secretario perpetuo D. Josef María Cejudo de Aidana, después de haber expuesto con brevedad el justo mo</t>
  </si>
  <si>
    <t>González de Castejon, Francisco Xavier</t>
  </si>
  <si>
    <t>Francisco Xavier González de Castejon</t>
  </si>
  <si>
    <t>e Cervera: para otra plaza de la propia corte mayor de Navarra, también nacional, por jubilación de Don Francisco Xavier González de Castejon, á D. Francisco Izco y Cortés; y para la fiscalía del crimen de la audiencia de Sevilla, por renuncia de Don Fnlgencio Rubín de Celis, á D. Miguel Gómez García, en consideración a</t>
  </si>
  <si>
    <t>González de Mendoza, Diego</t>
  </si>
  <si>
    <t>Diego González de Mendoza</t>
  </si>
  <si>
    <t>ha servido conceder en el regimiento de infantería de Extremadura subtenencia de bandera al cadete D. Diego González de Mendoza. El Rey se ha servido conceder á los ministros togados del consejo supremo de Indias D. Miguel Calixto Acedo y D. Benito de la Mata Linares plazas de la cámara del propio tribuna!</t>
  </si>
  <si>
    <t>González de Villamar y Dávila, Ignacio</t>
  </si>
  <si>
    <t>Ignacio González de Villamar y Dávila</t>
  </si>
  <si>
    <t>señor- y escriba nía de D. Mauricio Justo del Rincón, á usar de su derecho en la demanda puesta por D. Ignacio González de Villamar y Dávila, de que «1=» tiene comunicado Traslado ;8con apercibimiento que pasado sin haberlo cumplido les parara el perjuiC1° Por decretóle S del corriente de 1» intendencia de esta Ptormci</t>
  </si>
  <si>
    <t>González de Villanueva y Dávila, Ignacio</t>
  </si>
  <si>
    <t>Ignacio González de Villanueva y Dávila</t>
  </si>
  <si>
    <t>del juzgado, á decir y alegar lo correspondiente á su derecho en la demanda que les ha introducido D. Ignacio González de Villanueva y Dávila, de la que les está comunicado traslado. Taquigrafía castellana, ó arte de escribir con tanta velocidad como se habla, y con la misma claridad que la escritura común, cuya enseñan</t>
  </si>
  <si>
    <t>González del Olmo, Francisco</t>
  </si>
  <si>
    <t>Francisco González del Olmo</t>
  </si>
  <si>
    <t>mpuestas; y para una capellanía del numero de la catedral de Palencia, vacante por fallecimiento de D. Francisco González del Olmo, á D. Josef Hitero Retes. En el regimiento de reales guardias Valonas se ha servido el Rey promover á capitán al teniente D. Carlos de Menche. S. M. se ha servido conferir en el r</t>
  </si>
  <si>
    <t>González Diez, Andrés</t>
  </si>
  <si>
    <t>Andrés González Diez</t>
  </si>
  <si>
    <t>D. Ramón Covian, D. Antonio Ruftao Blanco, D. Josef Montes , D. Josef Luanco, D. Matías Espantoso» D. Andrés González Diez, D. Gaspar de Soto y Parga, D. Ramón Abad» D. Josef Jenér, D. Angel Selisis Palomo , D. Francisco Xavier Rivadulla y D. Gregorio Calderón y Durango: en geometría elemental D. Jose</t>
  </si>
  <si>
    <t>González Eirís, Ramón</t>
  </si>
  <si>
    <t>Ramón González Eirís</t>
  </si>
  <si>
    <t>Pablo Sandino. El Rey se ha servido conceder los honores de comisario ordenador de sus exércitos á D. Ramón González Eirís, comisario de guerra y artillería del departamento de islas de Canaiia. En los dias io, n y 13 del mes de noviembre próximo pasado se celebraron exámenes en el real instituto mili</t>
  </si>
  <si>
    <t>González Mojena, Ambrosio</t>
  </si>
  <si>
    <t>Ambrosio González Mojena</t>
  </si>
  <si>
    <t>uerpo. En el Regimiento de caballería del Príncipe se ha servido S. M. conceder Tenencia al Alférez D. Ambrosio González Mojena: en el de España empleo de Sargento mayor al Teniente Coronel D. Juan Casquero, Capitán del de Alcántara} y en el de Santiago Ayudantía al Teniente D. Felipe Sorrondegui. En el Re</t>
  </si>
  <si>
    <t>González Moro, Manuel</t>
  </si>
  <si>
    <t>Manuel González Moro</t>
  </si>
  <si>
    <t>uisiere hacer postura á qualnuiera de estas fincas lo practicará por la fes'cribanía, que desempeña D. Manuel González Moro. En 6 del corriente se remataron en el precio de su tasa, á pagar en vales reales, un solar de palomar y era unidos en la villa de Barajas,* calle de la Amargura, tasado en 132 rs</t>
  </si>
  <si>
    <t>qualesquieia de dichas fincas io executará por la escribanía -,de la misma comisión, que. desempeña D. Manuel González Moro. " Quien quisiere hacer postura á una casa grande de la villa de Añover de Tajo, ctrla calle- que sale de la ermita de nuestra señora de la Soledad, camino de Toleido, tasada cn:j</t>
  </si>
  <si>
    <t>postura á qiajquiera de dichas fincas, lo executará por la escribanía de la comisión, que desempeña D. Manuel González Moro. 1 Por procidencia de D. Juan Ximeno, juez comisionado real para la venta de bienes eclesiásticos en la diócesi de Málaga, dictada en 23 de abril próximo pasado, se ha mmdado saca</t>
  </si>
  <si>
    <t>hacer postura á qualquiera de ellas lo executará por la escribanía de la misma comisión, que exerce D. Manuel González Moro. Por el juez subdelegado real para la venta de bienes eclesiásticas de la ciudad y obispado de Avila D. Eladio Alonso Valdenebro se han mandado sacar á pública subasta 19 heredade</t>
  </si>
  <si>
    <t>González Pérez, Bernardo Antonio</t>
  </si>
  <si>
    <t>Bernardo Antonio González Pérez</t>
  </si>
  <si>
    <t>do beneficio, para el que tuvo á bien S. M. de nombrarle por real decreto de 24 de julio de 1798, á D. Bernardo Antonio González Perez, presbítero, con la obligación de ayudar al párroco. El Rey se ha servido conferir en el regimiento de infantería de Cantabria compañía al ayudante, graduado de capitán, D. Josef</t>
  </si>
  <si>
    <t>González Puga, Juan</t>
  </si>
  <si>
    <t>Juan González Puga</t>
  </si>
  <si>
    <t>la ¡ villa dé Ubrique. Por la comisión real de las diócesis de Tuy y Orense, y en virtud de auto de D. Juan González Puga, subdelegado; para la enagenácion de bienes eclesiásticos del partido de Orense, se.hallaen, pública subasta una granja,sita aLpüente de los Pelamiós ^extramuros de ía.piisn^ ciud</t>
  </si>
  <si>
    <t>González Saez, Julián</t>
  </si>
  <si>
    <t>Julián González Saez</t>
  </si>
  <si>
    <t>3; del corriente en la audiencia del Sr. Teniente D. Torquato Antonio* Collado por la escribanía de D. Julián González Saez. Proyecto presentado al Rey luis xiv de Francia para el fomento de su comercio y marina mercante. Véndese en. la librería de Dávila, calle de las Carretas: puede ir en carta. . Hi</t>
  </si>
  <si>
    <t>de dicho Señor, de doce á una de su mañana. Quien quisiere hacer postura acuda por la escribanía de D. Julián González Saez. Por providencia del Sr. D. Torquato Antonio Collado, Teniente Corregidor5 de esta villa, y escribanía de D. Tomas de Sancha y Prado, se han mandado sacar á pública subasta dos ca</t>
  </si>
  <si>
    <t>quato Antonio Collado, teniente corregidor de esta villa, fia señalado el dia 13 del presente, ante D. Julián González Saez, para él reárate del término del despoblado de la villa de la Torrecilla de Iban Crispirí, por baxó de Perales del Río, él qual se halla distinguido con mojones de piedra blanca,</t>
  </si>
  <si>
    <t>tiva metílica. Quien quisiere mejorarla, acuda ante el citado señor teniente, ^por la escribanía de D. Julián González Saez.=sTambién se venden á voluntad de su dueño dos casas sitas en esta corte, una en la calle del Carmen, núm. 5 , manzana 364; y otra en la calle del Rosario, esquina á la de S. Bern</t>
  </si>
  <si>
    <t>s. Por auto del Sr. D. Torquato Antonio Collado, teniente corregidor de está villa, y escribanía de D. Julián González Saez, se ha mandado sacar á pública subasta, por término preciso de 15 dias, una casa sita en esta corte, calle del Niño, num. 3, manz. 228 , tasada en 103,549 rs.; y para su remate es</t>
  </si>
  <si>
    <t>iencia del Sr. D. Torquato Antonio Collado, teniente corregidor de esta villa, por la escribanía de D. Julián González Saez, donde se informará de sus pormenores; en inteligencia de que para su remate está señalado el 2 2 de Julio próximo. Por providencia del Sr. D. León de Sagasta, y escribanía da I&gt;.</t>
  </si>
  <si>
    <t>987,121 rs. 23 mrs. Quien quisiere hacer postura acuda ante el referido señor, por la escribanía de D. Julián González Saez, donde se informará dé sus pormenores.- ¡ f • • •. ■ AVISOS. r ' D. Alexandro de Amírola, vecino de esta corte, ¡remitió el ig de mayo último, con clibieíta á D. Pedro Obando y D.</t>
  </si>
  <si>
    <t>la audiencia del señor teniente D. Torquato Antonio Collado, comisionado por S.. M. al efecto, ante D. Julián González Saez,. escribano del número de esta villa. AVTSO. En la villa de Belalcázar, partido de Villanueva de la Serena, provincia de Badajoz, exí&gt;te una casa grande, con alto y baxo, construi</t>
  </si>
  <si>
    <t>uien quisiere hacer postura, acuda ante el referido señor teniente, por la escribanía del número de D. Julián González Saez, en el término de go dial contados desde el i.° del corriente. Quien quisiere comprar dos pilas de lana de la cabaña de Osuna y Bejar, res* pectívas á los cortes del año de 1806 y</t>
  </si>
  <si>
    <t>io Collado ha señalado el día 7 de noviembre próximo, en su audiencia, ante el escribano del número D. Julián González Saez, para el remate de un oficio de regidor perpetuo de la ciudad de Toledo en banco de caballeros, apreciado en 22© rs., en cuya suma está hecha postura á pagar en vales reales. Quie</t>
  </si>
  <si>
    <t>el Sr. D. Torquato Antonio Collado, teniente corregidor de esta villa, ante el escribano del número D. Julián González Saez.__.Por el mismo señor teniente y citada escribanía se ha mandado publicar por 15 dias mas un oficio de regidor perpetuo de la ciudad de Toledo, con asiento en banco de caballeros,</t>
  </si>
  <si>
    <t>del Sr. D. Torquato Antonio Collado, teniente corregidor de esta villa, y escribanía del número de D. Julián González Saez, se ha señalado el dia 11 del corriente para el remate del término del despoblado de la villa de Cabezuelas, con todos sus aprovechamientos, jurisdicción y enseres, apreciado en 9</t>
  </si>
  <si>
    <t>ionado D. Torquato Antonio Collado, teniente corregidor de esta villa, ante el escribano dei número D. Julián González Saez. Por providencia del Sr. D. Torquato Antonio Collado, teniente corregidor de esta villa, y es:rib2nía de D. Juan López Fardo, se ha mandado sacar á pública subasta una casa sita e</t>
  </si>
  <si>
    <t>González Valcarce, Diego</t>
  </si>
  <si>
    <t>Diego González Valcarce</t>
  </si>
  <si>
    <t>nientes de exércitó á D. Josef Elorga, subteniente del regimiento de infantería de Beleños-Ayres; á D. Diego González Valcarce, alférez del cuerpo de caballería de blandengues de, la frontera de Buenos-Ayres; á D. Martin Cebader, subteniente del real cuerpo de artillería: grados de subtenientes de ejércit</t>
  </si>
  <si>
    <t>González, Antonio</t>
  </si>
  <si>
    <t>Antonio González</t>
  </si>
  <si>
    <t>á los sargentos primeros D. Josef Maristani, del primer regimiento del real cuerpo de Artillería, y D. Antonio González y D. Manuel Ríos, del quarto regimiento. El Rey, atendiendo á los dilatados y distinguidos servicios de D. Francisco Ugarte Barrientos, contador principal de rentas de la provincia de</t>
  </si>
  <si>
    <t>González, Diego Benigno</t>
  </si>
  <si>
    <t>Diego Benigno González</t>
  </si>
  <si>
    <t>licía para su derribo se tasó en 59,780 rs. Quien quisiere hacer postura acuda por la escribanía de D. Diego Benigno González. Por providencia dada en 17 de Noviembre próximo pasado por efRealTribunal del Consulado del comercio de Cádiz, en autos seguidos en la escribanía de Don. Melchor .Nicolás Truxill</t>
  </si>
  <si>
    <t>Velarde, del consejo y cámara de S. M. , ha señalado el martes 28 de este mes, en la escribanía de D. Diego Benigno González, para el remate de dos casas sitas en esta corte, una en la calle de S. Nicolás y S. Gil, núm. 1, manz. 43ó, tasada en 372,756 rs.; y la otra en la calle del Factor, sin número, d</t>
  </si>
  <si>
    <t>an» gobierna el real y supremo consejo y cámara de Castilla, juez comisionado, por la escribanía de Don Diego Benigno González, ú á la justicia de la enunciada ciudad de Salamanca, en quien ha subdelegado sus facultades, para la subasta y remates, que ha señalado para el dia 12 de agosto próximo, en el pa</t>
  </si>
  <si>
    <t>o gobierna-el real y supremo consejo y cámara de Castilla! juez comisionado, y por la escribanía de D. Diego Benigno González, se ha mandado suspender la venta de las dos casas sitas en la plazuela de Sto. Tomé de la ciudad de Salamanca, cuya venta se había anunciado en la gazeta del dia 3 del corriente;</t>
  </si>
  <si>
    <t>González, Fernando</t>
  </si>
  <si>
    <t>Fernando González</t>
  </si>
  <si>
    <t>nanio Plaza y D. Jpsef -Alaría Curto; y los tres-segundos-de 3 5 pesos a D.' Andrés Díaz Cadórníga, D. Fernando González y D. Manuel, González Peraiveles. ■Continuación sobre el solimán, mercurio dulce * y precipitado blanco de mercurio , por D. Gabriel Fernandez Taboada* . Sintesis del solimán. , l.° S</t>
  </si>
  <si>
    <t>González, Ignacio</t>
  </si>
  <si>
    <t>Ignacio González</t>
  </si>
  <si>
    <t>servido nombrar para el empleo de guarda- almacén ordinario de artillería de la plaza de Figueras á D. Ignacio González, guarda-almacén extraordinario de la de Rosas; y para esta resulta á D. Cayetano Bonafos. El real Seminario de nobles de Madrid celebró exámenes particulares en diciembre último,</t>
  </si>
  <si>
    <t>González, Luis</t>
  </si>
  <si>
    <t>Luis González</t>
  </si>
  <si>
    <t>frica Ayudantía al Teniente D. Pablo Argandona; y en el de Irlanda Subtenencia de bandera al Cadete D. Luis González. S. M. se ha servido promover á Teniente del real cuerpo de Artillería al Subteniente D. Juan Loriga. El Rey se ha servido nombrar Comisario de artillería honorario de guerra de l</t>
  </si>
  <si>
    <t>González, Manuel</t>
  </si>
  <si>
    <t>Manuel González</t>
  </si>
  <si>
    <t>quial de la villa de Utande, Diócesis de Sigiienza¿ vacante por fallecimiento de D. Estéban Ruiz, á D. Manuel González, Penitenciario del Colegio de la Presentación de nuestra Señora de la villa de Madrid, con las cargas que tiéhe anexas de residencia personal, ayudará! Párroco, y administrar los</t>
  </si>
  <si>
    <t>González, Rafael</t>
  </si>
  <si>
    <t>Rafael González</t>
  </si>
  <si>
    <t>tes á los Alféreces D. Ncrberto Alo-ólla, D.Gregorio Santayana,D. ManuelNacero , Don Pedto, Dueñas, D. Rafael González y D. Vicente Ferro; á Alféreces á los Cadetes D. Mariano Campana, D. Juan Alegría, D. Angel Mariano Ramírez y D. Martin de Concha; y á Portaestandarte al Cadete D. Manuel Orihuela. En</t>
  </si>
  <si>
    <t>Gorjon, Juan Alonso</t>
  </si>
  <si>
    <t>Juan Alonso Gorjon</t>
  </si>
  <si>
    <t>ara el deanato de la catedral de Avila, vacante por fallecimiento de D. Josef Gallego y Figueroa, á D. Juan Alonso Gorjon, canónigo de la misma iglesia, con retención de la canongía que disfruta en ella: para la canongía de la misma, vacante por muerte del expresado D. Pedro Josef Gallego y Figueroa,</t>
  </si>
  <si>
    <t>la parroquia de S. Cosme y S. Damian de Raheces, en el obispado de Oviedo, vacante por promoción de D. Juan Alonso Gorjon al deanato de la catedral de Avila, á D. Francisco Villuendas, teniente-sochantre de la capilla real; y para el préstamo beneficio simple de la parroquia de Sotoavellanos, en el a</t>
  </si>
  <si>
    <t>Gorrichategui, Luis</t>
  </si>
  <si>
    <t>Luis Gorrichategui</t>
  </si>
  <si>
    <t>al teniente D. Salvador Moxo; tenencia al alférez J). Andrés Bonilla , y esta resulta al portaguión D. Luis Gorrichategui; y en el de Lusitania tenencia al alférez D. Rafael Otondo. Con fecha de 25 de setiembre de 1807 se ha librado Real facultad á la ciudad de Almería para que en cada un año pueda c</t>
  </si>
  <si>
    <t>Gouvion, General</t>
  </si>
  <si>
    <t>General Gouvion</t>
  </si>
  <si>
    <t>El General Gouvion ha sitio nombrado Gobernador de Varsovia. (Monitor. ) El corsario el Glaneur de St. Malo apresó el 9 del corriente ai bergantín Ingles los Ocho hermanos, de porte de 14 cañones, y</t>
  </si>
  <si>
    <t>Govantes, Francisco Xavier</t>
  </si>
  <si>
    <t>Francisco Xavier Govantes</t>
  </si>
  <si>
    <t>lasco Ñuño y Madrigalejo, en el obispado de Avila, vacantes por muerte de D. Gregorio de la Sota, á D. Francisco Xavier Govantes. El Rey se ha servido promover á brigadier de infantería de sus exércitos al coronel D. Josef Conzalez, comandante del batallón de voluntario* de Tarragona. En América. S. M. se h</t>
  </si>
  <si>
    <t>Gr, General</t>
  </si>
  <si>
    <t>General Gr</t>
  </si>
  <si>
    <t>nes en la inmediación del puente. Viendo la excesiva superioridad del enemigo, mandó adelantarse al General Gr &gt;u:hy con su división. Los enemigos eran ya dueños de la aldea de Karmiijen , donde habían apostado un batallón de infantería. La linea enemiga, cargada por la división Grouchy, f</t>
  </si>
  <si>
    <t>Graciano de Torres</t>
  </si>
  <si>
    <t>feto Aranibar. En el de urbanas de dragones de Palma á coronel al teniente coronel del mismo D. Graciano de Torres; y en el de la misma clase de CarabayUo á capitán al teniente D. Juan de Berindoaga , á ayudante al teniente D- Luis Serrano , á teniente al alférez D. Pedro Martines Ucamuzaga r</t>
  </si>
  <si>
    <t>Grahl</t>
  </si>
  <si>
    <t>extrangeros Mr. de Bose,el secretario del departamento de la Guerra Mr. Pietsch, el de lo Interior Mr. Grahl, y Mr. Gebhard, secretario que fue de legación en Londres, y que ahora lo es del departamento de negocios extrangeros. Ningún individuo del cuerpo diplomático ha ido á este viage</t>
  </si>
  <si>
    <t>Grandjean, General</t>
  </si>
  <si>
    <t>General Grandjean</t>
  </si>
  <si>
    <t>e Lechenhagen; y á pesar del fuego de su ¡artillería fué desalojado prontamente por la división del General Grandjean ;'y la vanguardia de la división Dupas le hubiera cortado enteramente la retirada entre Andershof yStralsund, 1 no haber sido por una niebla sumamente espesa. Los puestos avanzado</t>
  </si>
  <si>
    <t>Gras, Juan</t>
  </si>
  <si>
    <t>Juan Gras</t>
  </si>
  <si>
    <t>ho comisionado, residente en la ciudad de Lérida, y escribanía de su gobierno, que está á cargo de ;D. Juan Gras. ; V En virtud de providencia del señor alcalde de corte D..Diego Gil Fernandez se ha señalado el dia 29 del corriente para el remate de varias tierras sitas en término del lugar</t>
  </si>
  <si>
    <t>Grattam</t>
  </si>
  <si>
    <t>nte moderada. _—Después de Mr. Windham hablaron muchos vocales en pro y en contra de la corrección. Mr. Grattam, diputado de Irlanda , sugeto distinguido por su eloqüencia , su probidad, y el conocimiento que tiene de las cosas de aquella isla: ,,Es doloroso, dixo, oír culpar á los últimos</t>
  </si>
  <si>
    <t>á indudablemente obligado á cuidar de la educación de jos mismos católicos. £1 último que habló fue Mr. Grattam. Observó que en Irlanda no hay sino un millón de protestantes, habiendo tres de católicos: que para los primeros hay 1100 beneficiados, y que si este número es necesario para la e</t>
  </si>
  <si>
    <t>Grattan</t>
  </si>
  <si>
    <t>ovar su solicitud en las actuales circunstancias. Se empezó 1^ junta por la lectura de una carta de Mr. Grattan, encargado por los católicos de apoyar su pretensión en el parlamento, en que este, diciéndoles que la coyuntura no es favorable para el buen éxito de la empresa, les aconsejaque</t>
  </si>
  <si>
    <t>sesión. El bilí ha sido aprobado por una gran mayoría de votos, en vista de la observación que hizo Mr. Grattan, diciendo qúe en aquel reyno había actualmente reuniones de conspiradores, y que se disponían á recibir á los franceses. El coronel Bagweli aseguró que la insurrección hacia progr</t>
  </si>
  <si>
    <t>ta ocasión que el ver apoyados los deseos del ministerio con el dictamen de un hombre del mérito de Mr. Grattan* cuya amistad, talento y carácter son para mí tan respetables.—Pero á pesar de su opinión, creo firmemente que ningún</t>
  </si>
  <si>
    <t>nstitución.” Después que el canciller del echiquier hubo contestado á Mr. Sheridan, tomó la palabra Mr. Grattan para justificar los motivos que. le habían inducido á apoyar en parte las medidas propuestas por el gobierno. Dixo que era necesario privar enteramente de toda esperanza al partid</t>
  </si>
  <si>
    <t>Grávete, Francisco</t>
  </si>
  <si>
    <t>Francisco Grávete</t>
  </si>
  <si>
    <t>e fusileros D. Josef Angel Velazquez y D. Josef María Merlano; á subtenientes de fusilerosal cadete D. Francisco Grávete, y á los sargentos primeros D. Diego Salaices y D. Juan Rosado;y de bandera á los cadetes D. Manuel de Alburquerque, D. Manuel Guerrero y D. Antonio Galluzo, y al sargento primero</t>
  </si>
  <si>
    <t>Gravina, Pedro</t>
  </si>
  <si>
    <t>Pedro Gravina</t>
  </si>
  <si>
    <t>dignidad de la catedral de Sevilla, vacante por muerte del señor cardenal duque de Yorck, al señor D. Pedro Gravina, arzobispo in partibas de Nicea, nuncio de la santa Sede en estos reynos: para el beneficio de la parroquia de S. Miguel de la ciudad de Murcia, diócesi de Cartagena, vacante por</t>
  </si>
  <si>
    <t>Gregori, Juan</t>
  </si>
  <si>
    <t>Juan Gregori</t>
  </si>
  <si>
    <t>s deberes y qualidades del médico, con el método de sus estudios, por el Dr. D. Juan Gregori, médico del Rey de la gran Bretaña, traducido al castellano: un tomo en 8.°, á 10 rs. en rústica y 12 en pasta. _Otro sobre la conexión de la medicina con las ciencias físicas y morales,</t>
  </si>
  <si>
    <t>Gregoria Bergaño</t>
  </si>
  <si>
    <t>ocupación, dándole por via de premio los Elementos de L’Maur.___En la escuela de niñas, al cargo de Doña Gregoria Bergaño, se adjudicó el premio i.° por leer y doctrina á Luisa Giraldo y Luisa García, y por la costura á María García y Maria Magdalena Palacin; dándose el accessit á Eusebia Hernández,</t>
  </si>
  <si>
    <t>Grenville</t>
  </si>
  <si>
    <t>d Howick hizo un discurso acerca de la disolución del ministerio, conforme en todo al que pronunció Mr. Grenville en la cámara alta. Refirió varios hechos para justificar su conducta y la de sus compañeros, y respondiendo al cargo de haber presentado al parlamento el bul acerca de los católicos</t>
  </si>
  <si>
    <t>Grenville y Mr, Lord</t>
  </si>
  <si>
    <t>Lord Grenville y Mr</t>
  </si>
  <si>
    <t>u regreso á Inglaterra. Quedóse solo Lord Lauderdale desde el 17 de Agosto: Mr. Fox quería la paz : Lord Grenville y Mr. Windham, que siempre se habían opuesto á ella, no la podían desear con sinceridad: el no naber la Rusia ratificado el tratado de París, y las desavenencias entre Prusia y Francia</t>
  </si>
  <si>
    <t>Grenville, Lord</t>
  </si>
  <si>
    <t>Lord Grenville</t>
  </si>
  <si>
    <t>ciertos edificios necesarios para la comodidad de los estudiantes de aquel seminario. Cámara alta. Lord Grenville presentó un proyecto de bilí, que se ¿guardaba hace tiempo, en que se trata de reformar la administración de la Justicia en Escocia. EL orden judicial que se propone en el bilí,,</t>
  </si>
  <si>
    <t>cree sin embargo que permanezca en Viena hasta que llegue su sucesor. Mr. Adair es del partido del Lord Grenville, y no oculta su descontento por la mudanza del ministerio. Este acontecimiento no ha podido menos de disgustar á nuestra corte, porque mira con desagrado á los lores Hawkeshury y</t>
  </si>
  <si>
    <t>Grenvitle, Lord</t>
  </si>
  <si>
    <t>Lord Grenvitle</t>
  </si>
  <si>
    <t>ry hizo vatios rerparos contra los Ministros, y sobre la disolución del Parlamento, á que respondió Lord Grenvitle ; y finalmente, quedó aprobado sin corrección ninguna el discurso de acción de gracias. v En la Cámara de los Comunes la propuso Mr. Lamb, apoyado por Mr. J. Smith. Mr. Canning: ,</t>
  </si>
  <si>
    <t>GrenviUé</t>
  </si>
  <si>
    <t>prisionero de guerra.” El Lord Maire*, que no: seacababaderesolver á creerlo, envió su Secretario á Mr. GrenviUé ah Almirantazgo?para; que le propusiese, ciertas dudas que se le oftecian. j La réspue¡sta¿déh pnmeí*-Xdrd. las deshizo, y la noticia se publicó en el café de Lloyd. Otrosmvifos r</t>
  </si>
  <si>
    <t>Grey</t>
  </si>
  <si>
    <t>z uso de los poderes que se me habían dado.” (Se concluirá.) El bilí presentado por el lord Howick (Mr. Grey) en la cámara batfa á favor de los oficiales que profesan la religión católica, ha producido u:ms efectos que no pudieran esperarse. Parece que los ministros han tenido mucho que</t>
  </si>
  <si>
    <t>Grignon</t>
  </si>
  <si>
    <t>líneas del pié ííévParis , "qtíé hacen i 5 2^37 líneas" deí pie español. ^ : Otro pie, hallado por Mr. Grignon entre las ruinas de una ciudad antigua éh Francia, es de i 5 2/2 5 línéaíi dé núe¿tró.píe. &lt; Del obelisco de Sesostris ó del campo de Marte, medido por Mr. Stuart¿ Se infiere el pié</t>
  </si>
  <si>
    <t>Guarderas, Nicolás</t>
  </si>
  <si>
    <t>Nicolás Guarderas</t>
  </si>
  <si>
    <t>villa en la de Caro, en Córdoba en la de Santaren , en Granada en la de Polo, y en Cádiz en casa de Don Nicolás Guarderas, calle de Cobos. La tentativa del león y el éxito de su empresa: fábula moral publicada para útil entretenimiento de los niños. El objeto de este pequeño poema es el de sugerir á</t>
  </si>
  <si>
    <t>Guardia, Francisco</t>
  </si>
  <si>
    <t>Francisco Guardia</t>
  </si>
  <si>
    <t>cante por ascenso de D. Antonio Vilana á canongía de la colegiata de Guisona, en aquella diócesi: á D. Francisco Guardia para el beneficio residencial de la parroquial de Prats del Rey, diócesi de Vich, vacante por promoción de D. Francisco Turón á otro de la catedral de Gerona: á D. Fernando Huguet</t>
  </si>
  <si>
    <t>Guehenenc</t>
  </si>
  <si>
    <t>ez. El coronel Borde-Soult, del 22.0 de cazadores, ha salido herido; también lo ha sido en el brazo Mr. Guehenenc, edecart del mariscal Lannes. Los generales Reille y Bertrand, edecanes del Emperador, han hecho servicios de importancia; y también merece elogios la conducta de los oficiales de</t>
  </si>
  <si>
    <t>Guerra, Juan Bautista</t>
  </si>
  <si>
    <t>Juan Bautista Guerra</t>
  </si>
  <si>
    <t>írez; á capitán al teniente de granaderos D. Domingo Malo; á teniente de granaderos ai de fusileros Don Juan Bautista Guerra; á teniente ai subteniente D. Agustín Iturbe, yá subteniente de granaderos ál de fusileros D. Juan Lejarza.</t>
  </si>
  <si>
    <t>Guerra, Juan Nepomuceno</t>
  </si>
  <si>
    <t>Juan Nepomuceno Guerra</t>
  </si>
  <si>
    <t>os que la mereciéron en los certámenes públicos de julio del año pasado de 1804. Por providencia de D. Juan Nepomuceno Guerra, comisionado regio para la enagenacion de lincas de obras pias de la villa de Talavera y su partido, se subastan las siguientes, pertenecientes al hospital de $ta. Catalina del‘Pu</t>
  </si>
  <si>
    <t>la academia, calle dé Alcalá, acudiendo después á recogerlas. VENTAS JUDICIALES. Por providencia de D. Juan Nepomuceno Guerra, comisionado regio en la villa de Talavera, se ha señalado el dia 13 del presente para el remate de las fincas siguientes: la labranza derla Onrubi, consistente en término del lug</t>
  </si>
  <si>
    <t>dia de concluida esta subasta, que dió principio en 10 de junio prúxímo pasado. Por provi encía de D. Juan Nepomuceno Guerra, subdelegado para la venta de bienes eclesiásticos en el partido de Talavera de la Reyna, se ha señalado el dia 24 dei presente para el remate de las fincas siguientes, sitas en e</t>
  </si>
  <si>
    <t>Guerrero, Luis Santiago</t>
  </si>
  <si>
    <t>Luis Santiago Guerrero</t>
  </si>
  <si>
    <t>ia; y para la vara de alcalde mayor de la villa de Cilleros, territorio de la árdea de Alcántara, á D. Luis Santiago Guerrero. VENTA JUDICIAL. Habiéndose hecho postura á la casa corral sita en esta corte entre las calles de S. Juan la nueva y S. Hermenegildo, núm. 4] manz. 5,06, en 42,781 rs. en vales re</t>
  </si>
  <si>
    <t>Guerrero, Manuel</t>
  </si>
  <si>
    <t>Manuel Guerrero</t>
  </si>
  <si>
    <t>s primeros D. Diego Salaices y D. Juan Rosado;y de bandera á los cadetes D. Manuel de Alburquerque, D. Manuel Guerrero y D. Antonio Galluzo, y al sargento primero I). Francisco Nieto. El Rey se ha servido resolver que las juntas generales de accionistas de</t>
  </si>
  <si>
    <t>Guidet, Bernardo</t>
  </si>
  <si>
    <t>Bernardo Guidet</t>
  </si>
  <si>
    <t>en el regimiento de infantería de Córdoba subtenencia de bandera al sargento primero de granaderos D. Bernardo Guidet. El Rey se ha servido promover á tenientes de las compañías fixas de artilleros de guarnición de Canarias y Almería á'los subtenientes de las mismas D. Patricio Ortiz y D. Ildefon</t>
  </si>
  <si>
    <t>Guijarro, Antonio</t>
  </si>
  <si>
    <t>Antonio Guijarro</t>
  </si>
  <si>
    <t>Valera , ei Sr. D. Gaspar Morera, y el S*\ D. Mariano de Exea: secretario i.° D. Luis Valcedo, i.° D. Antonio Guijarro: procurador D. Gaspar Teruel: contadores el Sr. barón de Manuel y D. Jayme Manent: tesorero D. Pedro Bergeyre : celadores ecle« siásticos de ios exercicios espirituales el Dr. Fr.</t>
  </si>
  <si>
    <t>Guijarro, Joaquín</t>
  </si>
  <si>
    <t>Joaquín Guijarro</t>
  </si>
  <si>
    <t>Baltasar Alcántara ; y á teniente en el segundo batallón de voluntarios de Cataluña al subteniente D. Joaquín Guijarro: en el de Asturias tenencia 2I subteniente D. Juan Robi, y subtenencia de bandera al sargento primero D. Pedro Aparicio ; y en el batallón de voluntarios de Baibastro el empleo de</t>
  </si>
  <si>
    <t>Guillelmo Xaramillo</t>
  </si>
  <si>
    <t>Almirante: le presidió el Sr. D. Sebastian de Torres, del consejo real, protector de este estudio: D. Guillelmo Xaramillo, que lo dirige , ios censores y otros varios preguntaron á los alumnos sobre todas las partes de la gramática y ortografía castellana, respondiendo á satisfacción del lucido y num</t>
  </si>
  <si>
    <t>de Mprcno, calle de la Cruz. Lecciones de gramática-ortografía castellana,dispuestas en diálogo por*D. Guillelmo Xaramillo: un tomo en 8.° Se hallará á 6 rs. en rústica y 8 en pasta en la librería de Gómez, calle de las Carretas. La guerrilla, ó tratado del servicio de las tropas en campaña. Esta obfi</t>
  </si>
  <si>
    <t>Guílleminot</t>
  </si>
  <si>
    <t>e S. M. el Emperador de todas las Rusias, y caballero de varias órdenes; los quales, á presencia de Mr. Guílleminot, coronel ayudante mayor, enviado por S. M. el Emperador de los franceses y Rey de Italia para asistir al ajuste del armisticio, han convenido en los artículos siguientes: art 1. L</t>
  </si>
  <si>
    <t>Guillen y Yenza, Miguel</t>
  </si>
  <si>
    <t>Miguel Guillen y Yenza</t>
  </si>
  <si>
    <t>á los Cadetes D. Miguel Diez de Bonilla, D. Josef Francisco Delgado y D. Carlos Abala y Varela, y á D. Miguel Guillen y Yenza, vecino de la misma demarcación. Por la Secretaría de Estado y dei Despacho de la Guerra se ha circulado la real orden siguiente : ,,Coñ\ presencia de lo que se observa por ios ju</t>
  </si>
  <si>
    <t>Guillermina, Princesa</t>
  </si>
  <si>
    <t>Princesa Guillermina</t>
  </si>
  <si>
    <t>á visitarle el Rey. El Emperador vino á esta ciudad al día siguiente, y antes de comer visitó á la Princesa Guillermina, y á la Princesa Luisa Radzivil. Después de comer pasó á ver ai Príncipe real, que está enfermo, al Príncipe de Orange Fulda, y al ministro de Estado de Prusia Mr. de Hard enberg,</t>
  </si>
  <si>
    <t>Guillermo Alcober</t>
  </si>
  <si>
    <t>: también se ha servido S. M. conferir compañía en el regimiento de dragones de Almansa al ayudante D. Guillermo Alcober; y en el de Pavía ayudantía al teniente D. Luis Triarte. En atención á los méritos y buenos servicias de D. Rafael Gutiérrez, visitador general de las reales \ osras de Madrid , s</t>
  </si>
  <si>
    <t>Guillermo Carr Be</t>
  </si>
  <si>
    <t>nmediación de Buenos- Ayres, 10 de Agosto de 18oé. = Excmoi. Señor. =zSanda2[o Lii;ier.= Excmo_ Sr. D. Guillermo Carr Be;esford. Pero pareciéndole á mi Ayudante que lo derenia el General sin darle audiencia mas tiempo que el que yo le había señalado, se volvió sin haberle entregado mí carta;'sin emb</t>
  </si>
  <si>
    <t>Guillermo de Brunswick, Príncipe</t>
  </si>
  <si>
    <t>Príncipe Guillermo de Brunswick</t>
  </si>
  <si>
    <t>rá una pensión de 80® florines, y otra igual su esposa, pagadas ambas por el Emperador Napoleón; el Príncipe Guillermo de Brunswick, que ha tenido la misma suerte, cobrará una pensión de 60® florines, y otro tanto su esposa. El Elector de Hesse no disfrutará pensión alguna, en atención á que tiene mucho caudal</t>
  </si>
  <si>
    <t>Guillermo de Prusia, Príncipe</t>
  </si>
  <si>
    <t>Príncipe Guillermo de Prusia</t>
  </si>
  <si>
    <t>dias que paso por aqui el consejero íntimo prusiano Mr. Lecoc, que va á París con Una comisión del Príncipe Guillermo de Prusia. Las cartas del Norte aseguran que el embaxador de Inglaterra ha salido ya de Petersburgo, y que la Suecia va á tomar las mismas medidas que la Rusia contra la Gran Bretaña. En un</t>
  </si>
  <si>
    <t>Guillermo Kalbérmaten</t>
  </si>
  <si>
    <t>á teniente al subteniente .de granaderos D. Federico Quartery; y á subteniente de bandera al cadete D. Guillermo Kalbérmaten. ' * Hv S. M. ha nombrado para la plaza del consejo'real, vacante por fallecimiento del señor conde de Isla , al Sr. D Alfonso Duran y Barazabal, alcalde de su real casa y corte ;</t>
  </si>
  <si>
    <t>Guillermo Kobel</t>
  </si>
  <si>
    <t>partidas considerables de reclutas para nuestro cuerpo de exército en Silesia. Guillermo Kobel , pintor distinguido en nuestra nación, ha hecho tres quadros históricos de orden del Mariscal Berthier. Representan tres asuntos de la última campaña: el i.° es el sitio dé Ulma en el mom</t>
  </si>
  <si>
    <t>Guillermo Marsden</t>
  </si>
  <si>
    <t>bido la siguien-’ te carta del contra- almirante Morray , dirigida al caballero Guillermo Marsden, secretario de! almirantazgo. A b ndo de la Nereyda} en la bahía de Barragan , go de junio. Muy señor mío.: por el último buque que salió de Montevideo informé á V&gt; de</t>
  </si>
  <si>
    <t>MENTOS RELATIVOS Á BUENOS-AYRES. Carta del contra-almirante Murray al caballero Guillermo Marsden, secretario del almirantazgo, á bordo de la Nereyda, delante de BuenosAyres 8 de julio. Por mi carta de 30 de junio próximo pasado estarán enteradas sus señorías de que el exército mandado po</t>
  </si>
  <si>
    <t>Guillermo Rodríguez</t>
  </si>
  <si>
    <t>añía al teniente, graduado de capitán, D. Josef Fiñon, y en el del Príncipe tenencia al subteniente D. Guillermo Rodríguez. El Rey se ha servido promover á subteniente de bandera en el regimiento fixo de Ceuta al cadete D. Juan Dieste: en el Suizo de Traxler á capitán segundo al teniente D. Ventura Ka</t>
  </si>
  <si>
    <t>Guillermo Windham</t>
  </si>
  <si>
    <t>tlereagh, uno de los ministros de Estado , con pliegos del teniente general Whitelocke ,dirigidos á Mr. Guillermo Windham, cuyo tenor es el siguiente: Buenos-Ayres 10 de julio de 1807. = Señor: Tengo la honra de participar á V. para noticia de S. M., que habiéndoseme juntado en Montevideo el 15 de ju</t>
  </si>
  <si>
    <t>Guillermo Xaramiilo</t>
  </si>
  <si>
    <t>es, del consejo Perl, como protector del estudio de gramática castellana, que dirige el catedrático D. Guillermo Xaramiilo, ha señalado el dia 27 del corriente mes de octubre para dar prin</t>
  </si>
  <si>
    <t>Guillermo Xaramilio</t>
  </si>
  <si>
    <t>s del real seminario de nobles: D. Francisco Xavier Cavanes, abanderado de reales guardias Walonas: D. Guillermo Xaramilio, individuo del real colegio académico de primeras letras, y catedrático de gramática castellana : D. Simón Argote, secretario de la sociedad económica de Granada, y comisionado po</t>
  </si>
  <si>
    <t>Guiñé</t>
  </si>
  <si>
    <t>oneros los ingleses que lo marinaban. Posteriormente los peniches de aquel apostadero, mandados por Mr. Guiñé, teniente de navio, se han apoderado de una lancha armada con 5 hombres y un oficial de la dotación del expresado bergantín. El 15 entró en Cherburgo una embarcación inglesa carga</t>
  </si>
  <si>
    <t>Guinea, Antonio</t>
  </si>
  <si>
    <t>Antonio Guinea</t>
  </si>
  <si>
    <t>rra: tenencias en los regimientos de infantería de Mallorca y Jaén á los subtenientes de granadero? D. Antonio Guinea y D. Antonio Conti; y la subtenencia de bandera del batallón de voluntarios de Campomayor al cadete D. Francisco Cabalen y Arana. $. M. se ha servido conferir el gobierno del castillo</t>
  </si>
  <si>
    <t>Gulliver, Juan</t>
  </si>
  <si>
    <t>Juan Gulliver</t>
  </si>
  <si>
    <t>s la edición francesa por D. Ramón Máximo Spartal. El nuevo t¡mon:0,(jci aprede Juan Gulliver, hijo de aquel, es una imitación y un buen vd*¡ñcPtas. ció que ha merecido la obra que se anuncia: 3 tomos en fi. con c q * Se hallará á 12 rs. cada uno en rústica en las librerías de ®</t>
  </si>
  <si>
    <t>Gustavo, Príncipe</t>
  </si>
  <si>
    <t>Príncipe Gustavo</t>
  </si>
  <si>
    <t>ón lucida para celebrar la paz de Tilsit. Asistieron el duque reynante de Mecklenburgo Schwerin, el Príncipe Gustavo su hijo, y el Príncipe y la Princesa hereditaria de Dinamarca, y el Príncipe de Pontecorvo, á quien dicen que se ha conferido el gobierno de las ciudades anseáticas. ; , !. : Én e</t>
  </si>
  <si>
    <t>Gutadon, General</t>
  </si>
  <si>
    <t>General Gutadon</t>
  </si>
  <si>
    <t>intimado que en el caso de alerta, harán fuego las tropas sobre los que salgan de sus casas-----,E1 General Gutadon manda en Colberg con 1800 hombres.__E1 Teniente general Courbiére se halla en Graudentz con 3© hombres. El exército francés está en movimiento para cercar y sitiar estas plazas. H</t>
  </si>
  <si>
    <t>Gutierre</t>
  </si>
  <si>
    <t>calle del Puente de dicha ciudad, tasada en 3 56,480 rs.: ©tra tasa de suelo á cielo en la calle dé D. Gutierre, en 99^860rs-.: otra ídem en; z-8,.500 rs.: una bodega en 9500 rs.; y una casita en el sitio de S. Martin, y solar que llaman de Maoño ,. en 29,147 rs. Quien quisiere hacer postur</t>
  </si>
  <si>
    <t>Gutierre, Juan</t>
  </si>
  <si>
    <t>Juan Gutierre</t>
  </si>
  <si>
    <t>, y el 28 á la Colonia del Sacramento, donde hallé la esquadrilla traída por el Capitán de Fragata Don Juan Gutierre^ de la Concha,'compuesta de 6~zuihacas y goletas arma-; das con cañones-dé á 18 y 24 ^ y una con cbusós&gt; de 14136, 6 cañoneras del Reyotra lancha mercante con Un canon de -ár 1$ á</t>
  </si>
  <si>
    <t>Gutiérrez Bueno, Pedro</t>
  </si>
  <si>
    <t>Pedro Gutiérrez Bueno</t>
  </si>
  <si>
    <t>Carretas. Descripción de los baños de Arnedillo y análisis de sus aguas, por el profesor de química D. Pedro Gutiérrez Bueno. Se hallará en la librería de Tieso, calle de las Carretas. La casualidad contra el cuidado, comedia en 3 actos, refundida por D. F. E. Castrillon, representada en el teatro de la</t>
  </si>
  <si>
    <t>Gutiérrez de la Concha, Juan</t>
  </si>
  <si>
    <t>Juan Gutiérrez de la Concha</t>
  </si>
  <si>
    <t>en Gefe de; V. S. áf las fuerzas de mar que están á las órdenes inmediatas del Capitarr dé Fragata D. Juan Gutiérrez de la Concha, y los buques 'que transportan la artillería y víveres para las tropas de la expedición ; á cuyo Oficial he prevenido con esta fecha queda á las órdenes de V-S- desde que llegue á</t>
  </si>
  <si>
    <t>o del ataque la cabeza de la división de la derecha, y el capitán de navio y gobernador de ¡Córdoba D. Juan Gutiérrez de la Concha la de la izquierda »ara cargar al enemigo por sus ñancos. La noche fue cruel por el mucho Í rió’y por varios chubascos de agua que sufrió mi tropa con la mayor constancia, no oyéndose mas</t>
  </si>
  <si>
    <t>s se hallaban dispersos en partidas de guerrilla. En el Retiro se habia situado el capitán de navio D. Juan Gutiérrez de la Concha con el cuerpo de marineros (que yo habia desembarcado haciendo entrar todas las embarcaciones de guerra en el Riachuelo, por considerarlas inútiles para la defensa de la plaza en</t>
  </si>
  <si>
    <t>Paraguay y Misiones, D. Xavier Elío, comandante de la campaña de Montevideo, y al capitán de navio D. Juan Gutiérrez de la Concha , intendente de Córdoba, quienes con sus luces y conocimientos militares han contribuido en mucha parte al logro de tan completa é insigne victoria, lograda por unas tropas volunt</t>
  </si>
  <si>
    <t>Gutiérrez López Caravantes, Francisco</t>
  </si>
  <si>
    <t>Francisco Gutiérrez López Caravantes</t>
  </si>
  <si>
    <t>de la misma clase, á D. JosefVinuesa: para el de la villa de Camón» que este dexa,de la segunda, á D. Francisco Gutiérrez López Caravantes: para el de la ciudad de Sto. Domingo de la Calzada , de la misma clase » á D. Josef María Perez de Rozas; y para el de la villa de Tordesillas» también de segunda clase, á D. Vic</t>
  </si>
  <si>
    <t>Gutiérrez Sanz de Valdemoro, Blas Antonio</t>
  </si>
  <si>
    <t>Blas Antonio Gutiérrez Sanz de Valdemoro</t>
  </si>
  <si>
    <t>de misas perpetua; fundado en el convento de S. Francisco de esta corte por dicho Soro en nombre de D. Blas Antonio Gutiérrez Sanz de Valdemoro ; con apercibimiento que pasado y no habiendo comparecido, sin mas citarles ni emplazarles, se determinará en el particular lo correspondiente. LIBROS. Real cédula de S. M. y seño</t>
  </si>
  <si>
    <t>Gutiérrez, Alexandro</t>
  </si>
  <si>
    <t>Alexandro Gutiérrez</t>
  </si>
  <si>
    <t>37, tasada en 107,937 rs. Quien quisiere hacer postara acuda ante dicho sepor, por la escribanía de D. Alexandro Gutiérrez. ' ‘‘ - - * - -'‘r- . ' Avisos. Quien quisiere hacer postura á los frutos y rentas de la encomienda de Mayorgá , órdeft de Alcántara, que se arriendan por tres años contados desde</t>
  </si>
  <si>
    <t>,937 rs., acuda ante el Sr. D. León de Sagasta, teniente corregidor de ésta villá-¿ y escribanía de D. Alexandro Gutiérrez; previniéndose que para su'rematc está scñalado el dia rg del corriente. AVISOS. En 2 2 de junio de este año la’ caSa de los señores de Arabet, Gaütier, Manning y compañía, de Bar</t>
  </si>
  <si>
    <t>Gutiérrez, Ambrosio</t>
  </si>
  <si>
    <t>Ambrosio Gutiérrez</t>
  </si>
  <si>
    <t>Ceuta p. Ignacio Martínez Valle j o; y subtenencia de bandera en el de América ál sargento primero D. Ambrosio Gutiérrez. yS. M. sélia servido promover en el real cuerpo de artillería á teniente coronel al capitán D. Francisco del Pino; y á capitán al capitán segundo D. Cristóbal Pomar.</t>
  </si>
  <si>
    <t>Gutiérrez, Francisco</t>
  </si>
  <si>
    <t>Francisco Gutiérrez</t>
  </si>
  <si>
    <t>a servido el Rey pro:nover A Teniente Coronel al Capitán D. Ramón Ce val los; á Capitán al Teniente D. Francisco Gutiérrez, y á Teniente al Alférez D. Domingo Ugarte. Noticias estadísticas sobre las casas de Saxonia que han accedido ci la confederación del Rhin. „ Fl reyno de Saxonia contiene 716 mill</t>
  </si>
  <si>
    <t>Gutiérrez, Juan</t>
  </si>
  <si>
    <t>Juan Gutiérrez</t>
  </si>
  <si>
    <t>ontevideo: d Brigadier al capiun de navio EX Santiago Lili fe rs ; d capitán de navio al de fragata D. Juan Gutiérrez de ¡ta Concha : d capitanes de fragata á los tenientes de navio D. Joaquín Ruiz Huidobro, D. Juan de Vargas, D. Tomas Blanco Cabrera yD.Angel de Mlcbelena: id tenientes de navio á lo</t>
  </si>
  <si>
    <t>Gutiérrez, Juan Antonio</t>
  </si>
  <si>
    <t>Juan Antonio Gutiérrez</t>
  </si>
  <si>
    <t>tervenidas y exlisten reservadas doce cartas con cubiertas á Don Miguel Ramírez, Doña Micaela Pini, D. Juan Antonio Gutiérrez, Doña Francisca del Castillo, Manuela Martínez, Doña Rosa de Udías y del Castro, D. Juan María Noriega, Doña María Catania Vallarina de Arenzano, D. ManueL de Ortega, D. Agustín X</t>
  </si>
  <si>
    <t>Gutiérrez, Juan Ignacio</t>
  </si>
  <si>
    <t>Juan Ignacio Gutiérrez</t>
  </si>
  <si>
    <t>fiero D. Mariano Batallas: para una'cancngía de la metropolitana de Sta. Fe, vacante por muerte de D. Juan Ignacio Gutiérrez, á D. Juan NepomuCeno Cabrera: para la ración que este dexa á D. Manuel Agu-.tin de Guinea, y para la media ración de este á D. Nicolás Cuervo: p2ra otra canongía'de Puerto-Rico,</t>
  </si>
  <si>
    <t>Gutiérrez, Pedro</t>
  </si>
  <si>
    <t>Pedro Gutiérrez</t>
  </si>
  <si>
    <t>a villa de Reynosa , nof¡abrado heredero del difunto D. Diego Rodríguez Olea, se servirá avisarlo á D, Pedro Gutiérrez de! DcsaJ, vecino do la misma villa. Se desea saber si hay algunos parientes de Dqña Gabriela López, natural que fue de esta corte, hija de D. Andrés López Villatobas, natural este d</t>
  </si>
  <si>
    <t>Gutiérrez, Rafael</t>
  </si>
  <si>
    <t>Rafael Gutiérrez</t>
  </si>
  <si>
    <t>el de Pavía ayudantía al teniente D. Luis Triarte. En atención á los méritos y buenos servicias de D. Rafael Gutiérrez, visitador general de las reales \ osras de Madrid , sitios y demás del reyno, se ha servido el rey concederle ios honores de comisario de guerra.</t>
  </si>
  <si>
    <t>Guys</t>
  </si>
  <si>
    <t>rtos res tóV que quedaron. Ocrp desembarco ¡ei'ectuárpWi cerdea, de Cauri, que tuvo el mismo éxito* Mr. Guys, Sargento mayor;deJa ler.. gjr&lt;n Corsa, al Frente,dy ^...popa..ligera que mapd^ y de muchos hapi^; tintes, derrotó otro ¿tte^pQ pe •fx|ijoito- Ingle* cerca de Camarota. (Gazeta de</t>
  </si>
  <si>
    <t>Guyu y Sisear, Buenaventura</t>
  </si>
  <si>
    <t>Buenaventura Guyu y Sisear</t>
  </si>
  <si>
    <t>vido nombrar á^D. Joaquín Regales para una canongía de la catedral de Lérida, vacante por muerte de D. Buenaventura Guyu y Sisear: á D. Josef Romeu para un beneficio de la parroquial de la villa de la Grahadelia, diócesi de Lérida, vacante por renuncia de D. Francisco Rigal: á D. Pedro Piqué para un benefici</t>
  </si>
  <si>
    <t>Guzman, Joaquín</t>
  </si>
  <si>
    <t>Joaquín Guzman</t>
  </si>
  <si>
    <t>guel Vaienzueia y D. Pedro Soldán , que mandaban 2 cañoneras , el contador D. Felipe Aro, el piloto D. Joaquín Guzman, encargado del bote de auxilio, y los patrones de las 3 lanchas. Concluida la acción, reparadas las averías, y puestos en tierra los heridos, dio Murfi la vela, y á ía mañana sigu</t>
  </si>
  <si>
    <t>Hall</t>
  </si>
  <si>
    <t>0 de las obras selecta* del mismo autor ; aumentado ton la oda de la mañana, que escribió en aleman Mr. Hall er, y la devoción en el campo. Pocos ignoran que el célebre Young fue un genio creador, un filósofo profundo, que unía á una erudición rara un corazón sensible y noble; qualidades q</t>
  </si>
  <si>
    <t>se trata de justificar la conducta del ministerio respecto á la disolución del parlamento anterior. Mr. Hall apoyó la propuesta; y derpues de haber desaprobado con aspereza la conducta de los últimos ministros, conclúyó con ún elogio pomposo de los actuales. Lord Howiek contestó diciendo</t>
  </si>
  <si>
    <t>Hancerli, Príncipe</t>
  </si>
  <si>
    <t>Príncipe Hancerli</t>
  </si>
  <si>
    <t>ado voluntariamente la dignidad de Príncipe de Moldavia, y el gran Señor ha nombrado en su lugar al Príncipe Hancerli, antiguo dragomán de la Pnerta. La esquadra que salió en seguimiento de los ingleses ha vuelto luego que supo que habían pasado los Dardanelos, y ha anclado entre Bechintaeii y la</t>
  </si>
  <si>
    <t>Hartsinck, Almirante</t>
  </si>
  <si>
    <t>Almirante Hartsinck</t>
  </si>
  <si>
    <t>e Dinamarca, la noticia*de que el navio el Schrikvernvekkerj de 68 cañones, de la esquadra del Vice-Almirante Hartsinck, naufragó el 18 de Mayo cerca de Póolo-Pinang, á la altura de Sumatra, Él buque se hizo mil pedazos contra los.escollos; pero se pudo salvar la tripulación. . Va á formarse un cue</t>
  </si>
  <si>
    <t>Hartwig</t>
  </si>
  <si>
    <t>en la costa occidental de Zelandia; pero ios enemigos han logrado sacar de ella toda la artillería. Mr. Hartwig, capitán de uno de nuestros corsarios, ha apresado un bergantín ingles cargado de azúcar, café, paños y casimiros, valuado en 30© libras esterlinas, y le ha conducido á Cronenburg</t>
  </si>
  <si>
    <t>Hasta</t>
  </si>
  <si>
    <t>oux, profesor de la escuela de medicina de Mompelíer*. traducido del Lances al castellano por D. F. D. Hasta aquí los autores que han tratado de las enfermedades que peculiarmente afligen al bello sexo, no las han considerado baxo las relaciones directas con el manantial de que proceden,</t>
  </si>
  <si>
    <t>Hasting, Almirante</t>
  </si>
  <si>
    <t>Almirante Hasting</t>
  </si>
  <si>
    <t>irantes Verhuelí y Dewinter; y Coroneles generales a Mr. Tarayre, Coronel general de la Guardia, ai Almirante Hasting, Coro'ei general de Granaderos Reales de Marina, y al General Daendels, Coronel general de la Caballería. Por el mismo decreto se concede el grado de Mariscales de H Ianda á los T</t>
  </si>
  <si>
    <t>Hautpoult, General</t>
  </si>
  <si>
    <t>General Hautpoult</t>
  </si>
  <si>
    <t>a ligera del General Tilíy, de los dragones de los Generales Gruchy y Sahuc, y de los coraceros del General Hautpoult. Los Plenipotenciarios Prusianos Lucchesini y Zastrow, pasaren el 10 por Thorn para Konigsberg, en busca del Rey su amo. ; , Un batallón Prusiano de Kíock ha desertado de *la alde</t>
  </si>
  <si>
    <t>Hawkesbury, Lord</t>
  </si>
  <si>
    <t>Lord Hawkesbury</t>
  </si>
  <si>
    <t>spíritu y energía para dar un fin glorioso á la guerra.” Lord Sommers apoyó el voto de Lord Jersey. Lord Hawkesbury hizo vatios rerparos contra los Ministros, y sobre la disolución del Parlamento, á que respondió Lord Grenvitle ; y finalmente, quedó aprobado sin corrección ninguna el discurso d</t>
  </si>
  <si>
    <t>s al Dr. Jenner por una mayoría de 60 votos contra 47. CAMARA DE IOS PARES. Sesión del 2$ de julio. Lord Hawkesbury pide que se lea por segunda, vez el bilí relativo á la insurrección de Irlanda; y sin oponerse á él, dice, que á excepción de algunos puntos, le parece que el bilí es una copia de</t>
  </si>
  <si>
    <t>He, General</t>
  </si>
  <si>
    <t>General He</t>
  </si>
  <si>
    <t>cho prisionero en el combate de Trafálgar. ¿ r Antes de a} er por la mañana besó la mano á S. M. el General He wit, como Comandante en gefe de r.ueí tras, tropas en las Indias orienrales, nombrado para suceder al Lord Lake. El Lord Minto ha prestado ya juramento como Gobernador de los mism</t>
  </si>
  <si>
    <t>Hederstierna</t>
  </si>
  <si>
    <t>e Toll, del capitán conde de Piper, del conde de Platen, del de Syllbenberg, ministro de Guerra, de Mr. Hederstierna, y del secretario de gabinete barón de Weter¿ted___ El 13 se presentaron á S. M. todos los oficiales de la guarnici®n , el general prusiano Winning, y los oficiales nuevamente con</t>
  </si>
  <si>
    <t>Hedouville, General</t>
  </si>
  <si>
    <t>General Hedouville</t>
  </si>
  <si>
    <t>e 8® hombres, con elqual ' se habia puesto en marcha para inquietar á los sitiadores de Bre^laü. El General Hedouville, mayor General del Príncipe Gerónimo , destacó contra él al General Montbrun, Comandante de las tropas de Wmtemberg, y al Genéfal Minucci, Comandante de las de Baviera, que alcanz</t>
  </si>
  <si>
    <t>o, y siempre con la mayor bizarría.. -j Artículos de la capitulación de Breslau, ajustados entre el General Hedouville, Senador, Sumiller de Corps de S. A.. I. el Príncipe Gerónimo.. Napoleón, Gefe del Estado mayor de los aliados, Grande OfLoial de la;Legion de Honor y Gran Cruz de Badén; ;y; eLGá</t>
  </si>
  <si>
    <t>Hehn, Pedro</t>
  </si>
  <si>
    <t>Pedro Hehn</t>
  </si>
  <si>
    <t>ente de granaderos al de fusileros D. Francisco Roh,y á subteniente de bandera afe ‘argento primero D. Pedro Hehn. El Rey se ha servido conferir el empleo de sargento mayor del regimiento de caballería de Calatrava ai teniente coronel D. Luis Calvo, capitán ÍJél de Alcántara ; y empteo de alf</t>
  </si>
  <si>
    <t>Hellerbach, Juan</t>
  </si>
  <si>
    <t>Juan Hellerbach</t>
  </si>
  <si>
    <t>sileros al subteniente de granaderos D. Domingo Oniiin; á subteniente de granaderos al de fusileros D. Juan Hellerbach, y ¿ subteniente de fusileros al cadete D. Andrés Cristian Riedy. En consideración á los buenos servicios de D. Joaquín Jaidero se ha tervido S. M. concederle los honores de tesor</t>
  </si>
  <si>
    <t>Henriqne Umaña</t>
  </si>
  <si>
    <t>apitanía general de Guatemala; y para el corregimiento de Zipaquira, en el vireynato de Santa Fe, á D. Henriqne Umaña, abogado de les reales consejes* t NOTICIAS DE BUENOS-AYRES* El 29 de abril entraron en rio JanSyro dos embarcaciones procedentes la una ds Montevideo y la otra de Buenos-Ayres. L</t>
  </si>
  <si>
    <t>Henriquez y Calafate, Antonio</t>
  </si>
  <si>
    <t>Antonio Henriquez y Calafate</t>
  </si>
  <si>
    <t>1237 sica» dió principio al acto el presbítero D. Antonio Henriquez y Calafate, individno nato de la misma junta, y secretario perpetuo de la real sociedad económica, leyendo un discurso histórico sobre el estudio del dibuxo y matemáticas, y su importancia p</t>
  </si>
  <si>
    <t>Henriquez y Navarro, Gregorio</t>
  </si>
  <si>
    <t>Gregorio Henriquez y Navarro</t>
  </si>
  <si>
    <t>dral de Canaria , vacante por promoción de D. Josef Romero Franchi á ración de la propia iglesia, á D. Gregorio Henriquez y Navarro, pro-eapellan dé coro y apuntador de la misma: para el beneficio residencial con capa de coro y silla alta de la colegiata de Toro, en la diócesi de Zamora, vacante por fallecimie</t>
  </si>
  <si>
    <t>Henrtque O DoneIl</t>
  </si>
  <si>
    <t>onel, D. Pedro Bilin : la Sargentía mayor del de Uitonia al Capitán dtl de Voluntarlos de la Corona D Henrtque O DoneIl;y Ayudantía en el de la Princesa al Teniente de granaderos, graduado de Capitán, D. Juan Gómez de O tos, En América. En el Regimiento de Mili das disciplinadas de infantería y dra</t>
  </si>
  <si>
    <t>Hércules, Duque</t>
  </si>
  <si>
    <t>Duque Hércules</t>
  </si>
  <si>
    <t>r.° de Junio de 1754, y se casó en 15 de Diciembre de 1771 con la Princesa María Beatriz, hija del Duque Hércules ni de Módena, Reggio y Mirándola. El Príncipe Fernando de Würtemberg, Gobernador de Vierta y de Austria la baxa, se ha retirado del servicio de esta monarquía con motivo de las nu</t>
  </si>
  <si>
    <t>Hermenegildo Agüero</t>
  </si>
  <si>
    <t>D. León de Sagasta, teniente corregidor de esta villa, juez del abintestato de Hermenegildo Agüero, vecino que fue de ella, se ha mandado emplazar á todas las personas que se consideren con derecho á los bienes de él, para que dentro de 30 dias acuda» á deducirle en su juzgado por la e</t>
  </si>
  <si>
    <t>Hermenegildo de Llanderal</t>
  </si>
  <si>
    <t>sar Fernandez, electo intendente de las nuevas poblaciones de Andalucía y Sierramorena: para esta á D. Hermenegildo de Llanderal, ministro de real hacienda de Ceuta : para este ministerio á D. Miguel de Ba térra , comisario de real hacienda de las minas del Almadén; y para este destino á D. Juan del Castill</t>
  </si>
  <si>
    <t>Hermenegildo Fernández de Burunda</t>
  </si>
  <si>
    <t>cer postura acuda 4 la escribanía de ia comisión, que exerce D. Domingo Pacheco. Por providencia de D. Hermenegildo Fernandez de Burunda, comisionado subalterno para la venta de bienes eclesiásticos en el ducado de Escalona y ©tros pueblos de la intendencia de Toledo, se han mandado sacar á pública subasta por térm</t>
  </si>
  <si>
    <t>a á la escribanía de la misma comisión, que despacha £&gt;. Manuel María Quesada. 0 Por providencia de D. Hermenegildo Fernandez de Burunda, Juez comisionado subalterno para la venta de bienes eclesiásticos en el ducado de Escalona, con residencia en la villa de Domingo-Perez, se han mandado sacar á pública subasta, p</t>
  </si>
  <si>
    <t>Hermida, Felipe</t>
  </si>
  <si>
    <t>Felipe Hermida</t>
  </si>
  <si>
    <t>ey al cadete D. Ramón Manzano; y en los deUltonia y Princesa á los sargentos primeros de granaderos D. Felipe Hermida y D. Antonio Larroya. Desde el dia i.° de abril hasta 31 de mayo próximos se renovarán en la tesorería de la real caxa de Consolidación los vales dinero de óco y 300 pesos de mayo de</t>
  </si>
  <si>
    <t>Hermoso Migues, Antonio</t>
  </si>
  <si>
    <t>Antonio Hermoso Migues</t>
  </si>
  <si>
    <t>n 74,712 rs. Quien quisiere hacer postura, acuda á la escribanía de la misma comisión, que despacha D. Antonio Hermoso Migues. Por providencia de D. Manuel Delgado Perlines, juez comisionadó regio para la venta de bienes eclesiásticos secularizados en la diócesi de Santander, se ha señalado el dia 18 dei</t>
  </si>
  <si>
    <t>Hernández de Pont, Antonio</t>
  </si>
  <si>
    <t>Antonio Hernández de Pont</t>
  </si>
  <si>
    <t>te D. Josef Puyol: á segundo ayudante en el segundo batallón de voluntarios de Cataluña al teniente D. Antonio Hernández de Pont ; y en el regimiento de infantería de las Ordenes Militares subtenencia de bandera al sargento primero de granaderos D. Juan Serrano. , ou",. - ■■ En América. El rey se ha servido</t>
  </si>
  <si>
    <t>Hernández Gardon, Diego</t>
  </si>
  <si>
    <t>Diego Hernández Gardon</t>
  </si>
  <si>
    <t>ervida conferir compañía en el regimiento de infantería de Mallorca al ayudante graduado de capitán D. Diego Hernández Gardon, y subtenencia de bandera en el de Aragón al sargento primero de granaderos D. Francisco Lacuesra. En el regimiento .¿de caballería de Farnesio se ha servido el rey conceder emple</t>
  </si>
  <si>
    <t>Hernández, Agustín</t>
  </si>
  <si>
    <t>Agustín Hernández</t>
  </si>
  <si>
    <t>s de Almansa al teniente D. Joaquín Cabronero , y en. el de. Pa vía empleo de alférez ál portaguión D. Agustín Hernández. Habiendo fallecido el ilustrísimo señor conde de Isla , decano que ha sido del consej-o Real, ha resuelto el Rey que el ilustrísimo señor D.Arias Antonio Mon y Vclarde, como tal</t>
  </si>
  <si>
    <t>Hernández, Antonio</t>
  </si>
  <si>
    <t>Antonio Hernández</t>
  </si>
  <si>
    <t>ano la suya por ser iguales en mérito; el segundo de quatro onzas de plataá D. Tomas Rodríguez y á D. Antonio Hernández, á cada uno la suya por el mismo motivo; y el tercero de dos orzas de plata á D. Manuel del Barrio. Asimismo es la voluntad del Rey que, en atención al sobresaliente mérito que se</t>
  </si>
  <si>
    <t>. Tomas Rodríguez disertar sobre el sueño de las plantas, y explicar la familia de las umbeladas: á D. Antonio Hernández disertar sobre la fecundación vegetal, y explicar la familia de los heléchos según el sistema de Smith; y á D. Manuel del Barrio disertar sobre la germinación, y explicar la famil</t>
  </si>
  <si>
    <t>Hernández, Francisco Antonio</t>
  </si>
  <si>
    <t>Francisco Antonio Hernández</t>
  </si>
  <si>
    <t>ista Masa; y á guarda-almacenes extraordinarios á los escribientes de número del ramo de artillería D. Francisco Antonio Hernández y D. Antonio Espinosa. En América. S. M. se ha servido nombrar para la dignidad de maestrescuela de la metropolitana de México, vacante por fallecimiento de Doa Juan Antonio Bruno, á</t>
  </si>
  <si>
    <t>Hernández, Henrique</t>
  </si>
  <si>
    <t>Henrique Hernández</t>
  </si>
  <si>
    <t>nía de la Iglesia de Canaria *■ vacante por fallecimiento de D. Tomás Quevedo, y que no ha admitido D. Henrique Hernández , nombrado para ella en decreto de 6 de Julio del año próximo pasado , á D. Josef Ponce, Presbítero. ——■ ■■ "■ " 1 ■■ 1 ■ III 1)1 i I " I .......................... I —■ ■■ ' II»</t>
  </si>
  <si>
    <t>Hernández, Miguel</t>
  </si>
  <si>
    <t>Miguel Hernández</t>
  </si>
  <si>
    <t>os portaestandartes D. Epifanio Mancha y D.Juan Destandau: en el de Calatrava ayudantía al Teniente D. Miguel Hernández; yen el dé Montesa empleo de portaestandarte al sargento i.° D. Agustín Alonso. i En la extracción de la real lotería, execntada el martes 25 del corriente, salieron los números 2</t>
  </si>
  <si>
    <t>Hernández, Vicente</t>
  </si>
  <si>
    <t>Vicente Hernández</t>
  </si>
  <si>
    <t>se ha servido concedeT en el regimiento de infantería de Málaga ayudantía al teniente de g anaderos D. Vicente Hernández, y en el de Guadalaxara tenencias á los subtenientes D. Cristóbal Ochoa y D. Eugenio Ibanez, y subtenencias de bandera al cadete D. Juan Pablo Demblans, y al sargento primero de g</t>
  </si>
  <si>
    <t>Herrera y Blandino, Francisco Xavier</t>
  </si>
  <si>
    <t>Francisco Xavier Herrera y Blandino</t>
  </si>
  <si>
    <t>onisio de la Cova, á D. Manuel Josef Marchane: para la canongía que este dexa ea la misma iglesia á D. Francisco Xavier Herrera y Blandino: pára otra de la catedral de Cuenca, vacante por ascenso de D. Pedro Vicente Yañez á otra de la metropolitana de Valencia, á D. Josef Mateo López, canónigo doctoral de la catedral</t>
  </si>
  <si>
    <t>Herrera, Francisco</t>
  </si>
  <si>
    <t>Francisco Herrera</t>
  </si>
  <si>
    <t>(~3···!S· Francisco Herrera .... de Luis .......... Constantina en Sevilla •.• 1194.' Licenc. 43, Francisco Medina •.. de Diego ....... Velez Málaga ............... 11</t>
  </si>
  <si>
    <t>Herreros, Joaquín</t>
  </si>
  <si>
    <t>Joaquín Herreros</t>
  </si>
  <si>
    <t>ompañía en el regimiento de infantería de 'Voluntarios de Estado al teniente, graduado de capitán , D. Joaquín Herreros t ayudantías en el de las Ordenes Militares, y en el de Voluntarios de la Corona á los tenientes D. Francisco Bartolomé y D. Juan del Campillo, el primero graduado de capitán; y s</t>
  </si>
  <si>
    <t>Heyne</t>
  </si>
  <si>
    <t>nsigo mismos. Es un nuevo lazo entre el cielo y la tierra, separados por la caída de Adan y de Eva. Mr. Heyne, uno de los primeros literatos de Alemania, y varios diputados del reyno de Westfalia, que han venido á cumplimentar á su nuevo Príncipe, asistieron á los exercicios, quedando tan</t>
  </si>
  <si>
    <t>Hidalgo, Antonio María</t>
  </si>
  <si>
    <t>Antonio María Hidalgo</t>
  </si>
  <si>
    <t>ciónde D. Vicente Martínez Terrova á la dignidad de arcediano titular de la catedral dePlasencía, á D. Antonio María Hidalgo: para otra canongía vacante en la colegial de Santillana » diócesi de Santander, por promoción de D. Benito Barreda y Rebolledo á la dignidad dé capiscol de la propia iglesia , á</t>
  </si>
  <si>
    <t>Hidalgo, Pedro</t>
  </si>
  <si>
    <t>Pedro Hidalgo</t>
  </si>
  <si>
    <t>sciplinadas de Goatemala se ha servido S. M. nombrar teniente en el batallón de León ai subteniente D. Pedro Hidalgo, y subteniente de compañía y de bandera á D. Miguel Zapata y D. Pedro VaidivielsO: subtenientes de bandera en el de Olancho á D. Cayetano Payes y D. Benito Padilla: teniente y alf</t>
  </si>
  <si>
    <t>Higinio Antonio Lorente</t>
  </si>
  <si>
    <t>, calle de Ma/aderitos___ En la misma se hallan los Elementos de química de Chaptal, traducidos por D. Higinio Antonio Lorente, médico honorario de cámara de S. M., y ambas obras componen un curso completo de química. í Compendio geográfico-estadístico de la Confederación del Rin, extractado de las última</t>
  </si>
  <si>
    <t>Híjosa, Juan Bautista</t>
  </si>
  <si>
    <t>Juan Bautista Híjosa</t>
  </si>
  <si>
    <t>con un hijo suyo de tres años de edad, acompañándole de orden del alcalde mayor el cirujano titular D. Juan Bautista Híjosa, para que se enterare ocularmente del método de hacer la operación. Vacunado este niñ &gt;, y vuelto á Dos-Barrios, se inocularon de él otros, y de estos sucesivamente de brazo á bra</t>
  </si>
  <si>
    <t>Hilario García Tejada</t>
  </si>
  <si>
    <t>s ulférécés D. Josef Gorostiza y Dv Josef Florencio de Castilla; á alféreces i los portaestandartes*D. Hilario García Tejada * D. Jtian Pesquera, D. Andrés Obregon y D. Antonio Velásco y Pérez* Gatvez* y a portaestandartes al cadete D. Josef Apolinario Quixano y í&gt;. Pedro Ruiz de Otaño, vecino de la dem</t>
  </si>
  <si>
    <t>Hilarión de la Quintana</t>
  </si>
  <si>
    <t>losque llegué á las diez y medih de*ltf mzñándfIForiftán3d enbitalla, envié ál pueblo a mi Ayudante Don Hilarión de la Quintana con la intimación al Général Ingles , que á la letra cb^^^^ximóíSrircLa’ltíerféUÉ1 las5 armas es variable: hace poco mas de ññ ;rpés f&lt;|üfc VvEi éntró^én esta capital, arrojándose</t>
  </si>
  <si>
    <t>regimiento de milicias •di 5ciplinad2s.de caballería de la colonia:gracias de capitán de exércitó á D. Hilarión de la Quintana , ayudante del regimiento de infantería de Buenos- A y res; á D. Miguel de Irigoyen, ayudante veterano del regimiento de milicias disciplinadas de caballería de la frontera de Bue</t>
  </si>
  <si>
    <t>Hiley Addington</t>
  </si>
  <si>
    <t>s. GRAN BRETAÑA. * • Londres 8 de julio, .. . . Cenara de los comunes. En la sesión del 27 de junio Mr. Hiley Addington preguntó si debía presentarse el balance de la compañía de la India, manifestando su deseo de que fuese quanto antes. El lord Howick añadió que de los documentos que se habían pre</t>
  </si>
  <si>
    <t>Híley Addíngton</t>
  </si>
  <si>
    <t>por malo; y si presentan otro mas adaptable, es porque asilo exigen las urgentes circunstancias. f Mr. Híley Addíngton habló contra nuevo plan diciendo: „Que áuo no se conoce bastantemente en Inglaterra la situación crítica en que se encuentra este país; que una mala providencia puede ocasionar su</t>
  </si>
  <si>
    <t>Hiño, Luis</t>
  </si>
  <si>
    <t>Luis Hiño</t>
  </si>
  <si>
    <t>regimiento de milicias disciplinadas de infantería de la misma isla, ha conferido el rey compañía á D. Luis Hiño josa, teniente del propio cuerpo; noinbrando teniente en él al subteniente D. Raymundo de Silva, y subtenientes á los sargentos primeros de granaderos D. Santiago Suarez y D. Domi</t>
  </si>
  <si>
    <t>Hipólito Elias González</t>
  </si>
  <si>
    <t>servido nombrar para la canongía doctora! de la catedral de Maracaybo, vacante por fallecimiento de D. Hipólito Elias González, á D. Luis Ignacio de Mendoza: para otra de merced de la de Valladolid de Mechoacan, vacante por muerte de D. Manuel Nicolás de Lezo, á D. Agustín Matías de Ledos: para la Ración</t>
  </si>
  <si>
    <t>Hipólito Ruiz</t>
  </si>
  <si>
    <t>real academia médica de Madrid, y se ilustró modernamente con notas y. con la estampa por su autor D. Hipólito Ruiz, primer botánico de S. M. en la expedición del Perú. Este nuevo específico sirve para contener los fluxos de sangre que vengan porquaiquiera vía,ó por heridas ó amputaciones; y qu</t>
  </si>
  <si>
    <t>Hoihnd, Lord</t>
  </si>
  <si>
    <t>Lord Hoihnd</t>
  </si>
  <si>
    <t>retas, cuyas raíces se extienden y acrecientan en aquel reyno cada vez mas de 15 años á esta parte. Lord Hoihnd, después de exponer los tres distintos objetos que se propone el bilí, dice, que como miembro de la cámara de los lores siente mucho haber de declarar que el bilí le parece necesa</t>
  </si>
  <si>
    <t>Holland, Lord</t>
  </si>
  <si>
    <t>Lord Holland</t>
  </si>
  <si>
    <t>916 Popham es de que si el enemigo intenta el desembarco, ha de ser en invierno. Sesión del //. Lord Holland refutó con calor el bilí que se ha propuesto para limitar la facultad de tener armas en Irlanda. Sostuvo que en circunstancias muy semejantes se había conseguido con una conducta</t>
  </si>
  <si>
    <t>Home</t>
  </si>
  <si>
    <t>a que de acuerdo con Si Baird hiciese el ataque contra el Cabo de Buena-Esperanza. La c ulterior de Sir Home dependía del éxito de la expedición contra t en caso que fuese desgraciado , se le mandaba que después de d&lt; á la India los baxeles destinados para aquellas colonias, se volvies* gla</t>
  </si>
  <si>
    <t>Beresford. Entre los documentos de la acta de acusación se hallan también los pliegos remitidos por Sir Home desde Sta. Helena, donde tocó luego que salió del Cabo, é hizo que el gobernador le diese algunos refuerzos para su expedición; y los que envió desde el rio de la Plata dando cuenta</t>
  </si>
  <si>
    <t>efe. GRAN BRETAÑA. Londres .16 de marzo. Aunque el público sabe ya el fin que ha tenido la causa de Sir Home</t>
  </si>
  <si>
    <t>gó á contribuir á esta expedición: el del lord S. Vincent (se sabe que este es enemigo declarado de Sir Home) que en 1796 encargó al lordNelson el ataque contra Tenerife, empresa que tuvo un éxito desgraciado, como todos saben: en fin,el del lord Nelson, que en 1804 marchó con su esquadr</t>
  </si>
  <si>
    <t>as fuerzas que manda-'son muy bastantes para lograr un éxito feliz en el ataque centra Montevideo.” Sir Home se quejó también de que el almirantazgo hubiese publicado alteradas y desfigurados los pliegos que él le había remitido dando cuenta de la reconquista de Buenos-Ayres, porque de e</t>
  </si>
  <si>
    <t>das, y de endulzarlas, ya para el uso de la vida, 6 ya para otros fines: publicado en ingles por el Dr. Home, profesor de medicina en Edimbourg, y traducido en castellano, por la versión francesa, de órden de la real junta general de comercio, moneda y minas, y con aprobación de S. M., p</t>
  </si>
  <si>
    <t>as endeble, y por donde mas debemos temer un ataque. Añadió que la opinión de Sid Sidney Smith y de Sir Home</t>
  </si>
  <si>
    <t>Home Popbam</t>
  </si>
  <si>
    <t>arán diferentes batallones ríe la legión alemana. Dicen que también se embarcará en eíta expedición Sir Home Popbam. Según Ls noticias que se reciben de Sicilia, nuestras tropas padecen en aquella isla una calentura maligna y epidémica , que hace muchos estragos. Entre las personas que han muer</t>
  </si>
  <si>
    <t>Home Poph</t>
  </si>
  <si>
    <t>el lado del mediodía. G jR. A N BRETAÑ A. Londres 23 de marzo. ¡ . ;•&gt; Continuación de la causa de Sir Home Poph&amp;m. ¿ , b í „ Habiéndose mudado, el ministerio en el :añó de 1804 » se tne^confirip íel mando del navio Antclope^yse me encargó eí bloqueo deíBoloaa. Lord Melville, que era primer</t>
  </si>
  <si>
    <t>Homé Popham</t>
  </si>
  <si>
    <t>l CapitanEdmunds, Comandante del navio de S. M. el Díomedes, ha llegado esta noche con despachos de Sir Homé Popham, su fecha i.° de noviembre en el rio de la Plata. Contienen que Buenos-Ayres fué atacada el 9 de agosto por un cuerpo de tropas de Montevideo, auxiliado de las milicias y de los h</t>
  </si>
  <si>
    <t>Home Popham</t>
  </si>
  <si>
    <t>ctubre el coronel Backhouse, comandante de las tropas enviadas del Cabo, apoyado por la esquadra de Sir Home Popham, intentó atacar la ciudad y fortaleza de Montevideo; pero tuvo que desistir de su proyecto , y retirarse. Los géneros y efectos ingleses que han caído en poder de los españoles cc</t>
  </si>
  <si>
    <t>» en su poder. GRAN BRETAÑA. * ,- ji ; r ■ Londres 21 deftbrero, p ’ - El r6 : del corriente arribó Sir Home Popham aiWeymouth á bordo del Rolla, a ios 57* dias de haber dado la vela del rio de la Plata. El 18 fue arrestado en virtud de un decreto del almirantazgo,,exhibiéndosele al mismo tiemp</t>
  </si>
  <si>
    <t>ant se juntó el dia 6 de marzo á bordo del navio Gladiador, anclado da de Portsmouth, para juzgar á Sir Home Popham. Habiendo j todas las formalidades requeridas , se procedió á la lectura de la ó almirantazgo, en que se encargaba á Mr. Jervis la continuación d&lt; so, y le agregaba en calidad de</t>
  </si>
  <si>
    <t>Plata dando cuenta de haberse logrado la empresa. *. Acabada la lectura de las piezas del proceso, Sir Home Popham confesó que las instrucciones secretas que había recibido eran, conformes á las que se habían presentado en la cámara. Convino igualmente en que las órdenes posteriores que le hab</t>
  </si>
  <si>
    <t>e este, pro la sentencia que sigue: ,, El dictamen del consejo es que los cargos hechos contra el &lt; Sir Home Popham han sido suficientemente probados, y pierna aderr el retirar, sin tener orden para ello, la totalidad de algunas fuerzas les, qualesquiera que sean, del lugar donde el gobierno ha</t>
  </si>
  <si>
    <t>i:nita á declararle muy reprehensible , y en su conseqíieneia le reprer hende.” Concluida la causa, Sir Home Popham se embarcó en una lancha para baxar a tierra, y fue recibido en medio de las aclamaciones del gran gentío, que por curiosidad había concurrido á la orilla del mar, y de un «tf núm</t>
  </si>
  <si>
    <t>o, por si llegaba el caso de necesitarlos; se la di efectivameiSte, y él podrá certificar de ello.” Sir Home Popham, después de probaren la primera parte de su defensa que á su salida de Inglaterra debía Testar convencido de que, conquistado el cabo dé Búeni Esperanza, n6 podía hacer cosa mas c</t>
  </si>
  <si>
    <t>corte á las potencias beligerantes. GRAN BRETAÑA. . Londres 28 de marzo. Conclusión de la causa de Sir Home Popham. En seguida citó Sir Home Popham gran número de exemplos de oficiales que, revestidos de facultades semejantes á las suyas, habian emprendido expediciones sin tener instrucciones</t>
  </si>
  <si>
    <t>sultas de la mayor importancia para la marina y para el estado en general.” Concluida la defensa de Sir Home Popham, se procedió al examen de los testigos, los quales justificaron plenamente las aserciones, del capitán sobre los proyectos de Mr. Pitt, y las relaciones confidenciales que este of</t>
  </si>
  <si>
    <t>20 navios de línea. El almirante Gambrier tendrá el mando de esta esquadra, en que servirán también Sir Home Popham, el almirante Essington, y los comodoros Sir S, Hood y Keats. La primera división salió de lar Dunas el 19 mandada por Sir S. Hood, y se cree que el resto de la esquadra saldrá en</t>
  </si>
  <si>
    <t>bablemente quedarían ya restituidos á la salida de los pliegos. Así ha terminado una expedición que Sir Home Popham emprendió sin estar autorizado por el gobierno, y únicamente por $u opinión y juicio personal. El último ministerio se esforzó en vano á reparar el yerro cometido por el oficial de</t>
  </si>
  <si>
    <t>marqueses Mrs. de Waltersdorff, Lutken y KirchhofF, y por la de los ingleses Sir Arthuro Wellesley, Sir Home Popham, y Sir Jorge Murray. El gobierno de dinamarca no ha reconocido la capitulación. Escriben de Holstein que se ha prohibido toda comunicación con la isla de Zelandia. La dirección ge</t>
  </si>
  <si>
    <t>ba sobre todo la conducta de los generales Cathcart y Linsingen; pero no se habla del mismo modo de Sir Home Popham. En el dia se toman todas las medidas necesarias para abastecer esta ciudad y las de Noruega, adonde los ingleses dexan pasar todas las embarcaciones de cierto número de toneladas</t>
  </si>
  <si>
    <t>Home Popharn</t>
  </si>
  <si>
    <t>nte por el gobierno á ¡a India con dinero para Jas pagas del exército. Según el Lord Qrenville, era Sir Home Popharn especialmente reprehensible por haber escrito una circular á los comerciantes y dueños de fabricas, animándolos á despachar remesas de géneros para Buenos-Ay res. Se cree que quando</t>
  </si>
  <si>
    <t>e negligencia á los ministros, sosteniendo que en el mes de junio supieron ya que la expedición de, Sir Home Popharn se dirigía contra aquel establecimiento, y que si deseaban conservarlo era menester que hubiesen enviado inmediatamente refuerzos. Los 3 regimientos que salieron en octubre de</t>
  </si>
  <si>
    <t>Home Pophatn</t>
  </si>
  <si>
    <t>ha desembarcado los heridos y los individuos y dependientes de nuestra legación en Constantinopla. Sir Home Pophatn ha sido nombrado comandante de una esquadra ligera que se junta en Yarmouth, destinada á cruzar en los embocaderos de varios rios del continente.</t>
  </si>
  <si>
    <t>Home-Popham</t>
  </si>
  <si>
    <t>ropósito de esta conquista, yo soy uno de los, que han pedido sé prive de los mandos que obtienen á Sir Home-Popham, y á Sir David Baird, por haber emprendido esta expedición sin tener órdenes para ello. Su conducta destruye toda subordinación. ¿Adonde iríamos á parar si los Gobernadores de nue</t>
  </si>
  <si>
    <t>ba en Plimouth, para que se encargue de la presidencia de dicho consejo» El desafecto que profesa á Sir Home-Popham el lord St. Vincent, y en general todo el partido ministerial, da mucho cuidado á los amigos del reo ; y aun hay quien tema que los ministros quieran renovar el exemplo del almirant</t>
  </si>
  <si>
    <t>lo de barón, y de vizconde al lord Cathcart. A Sir Arturo Wellesley, al vice-almirante Sthanope y á Sir Home-Popham se darán también premios correspondientes. En las inmediaciones de Plymeuth hay embargados al pie de 100 buques dinamarqueses, cuyos cargamentos se valúan en 800© libras esterlina</t>
  </si>
  <si>
    <t>Honorato Duolaisel</t>
  </si>
  <si>
    <t>ía Walona se ha dignado el rey conceder el empleo de primer ayudante mayor ai teniente dé fusileros D. Honorato Duolaisel. En el regimiento de infantería del Príncipe se ha servido S¿ M. pronto* ver á teniente al subteniente D. Ambrosio del Gallo, y 4 subtenientes dé bandera en el de Mallorca al sarg</t>
  </si>
  <si>
    <t>Hore, Vicente</t>
  </si>
  <si>
    <t>Vicente Hore</t>
  </si>
  <si>
    <t>nsión,: en el término de 30 dias contados desde 26 de setiembre, por mano del Excmo. Sr.. asistente D. Vicente Hore; en ei concepto de que los exercicics serán formar en 24 horas una oración sobre la sentencia que elija, de tres que se le darán, leyéndola á las 48, exponiendo los fundamentos de</t>
  </si>
  <si>
    <t>Hosta, Antonio</t>
  </si>
  <si>
    <t>Antonio Hosta</t>
  </si>
  <si>
    <t>En el regimiento de infantería de Nueva-España se ha servido el Rey promover á capitán al teniente D. Antonio Hosta; á tenientes si subteniente de granaderos D. Benigno Morales,y al de fusileros Don Josef Perez; á subteniente de granaderos al de fusileros D. Josef Moreno, y á subtenientes de ba</t>
  </si>
  <si>
    <t>Howick, Lord</t>
  </si>
  <si>
    <t>Lord Howick</t>
  </si>
  <si>
    <t>seqüeocia de este discurso Mr. Canning propuso varias reformas y enmiendas en la acción de gracias. Lord Howick respondió á Mr. Ganning de esta suerte : -r -„E1 orador que acaba de hablar ha hecho en su arenga cargos de tal gravedad, que aun quando careciesen de fundamento, bastarían para d</t>
  </si>
  <si>
    <t>3 millones y 174® pesos fuertes. El dia 20 en la sesión de la Cámara baxa Sir T. Turton preguntó al Lord Howick si la intención de los Ministros era imitar la conducta de la Francia respecto de los neutrales, y que adonde y en virtud de qué órdenes se enviaba al continente la enorme suma de</t>
  </si>
  <si>
    <t>que iba á. conseguir de su empresa, al cabo de tan largos y constantes esfuerzos.— A propuesta del Lord Howick. acordó la cámara que se imprimiese el bill3 y se diese cuenta de él en otra sesión. FRANCIA. Parts 21 de marzo. La sociedad filantrópica ha hecho imprimir los estados que se le h</t>
  </si>
  <si>
    <t>n, en atención á qué este había tirado constantemente á excitar en Irlanda disensiones religiosas.* Lord Howick observó que nadie se había opuesto al bilí, y que solamente se trataba de fixar su duración. Por el contrario, Mr. Sheridaxn dixo que el partido de oposición jamas aprobaría la pr</t>
  </si>
  <si>
    <t>Howiek, Lord</t>
  </si>
  <si>
    <t>Lord Howiek</t>
  </si>
  <si>
    <t>con aspereza la conducta de los últimos ministros, conclúyó con ún elogio pomposo de los actuales. Lord Howiek contestó diciendo: „Tanto en el discurso de S. M. como en el que se propone para responderle, nos aconsejan el espíritu de pazren nuestras deliberaciones. Yo también la deseo;y el</t>
  </si>
  <si>
    <t>Howik, Lord</t>
  </si>
  <si>
    <t>Lord Howik</t>
  </si>
  <si>
    <t>ros restituir'émos la mayor parte de los buques prusianos que hemos apresado. En el discurso que el Lord Howik pronunció el 4 de febrero en la cámara de los comunes sobre el comercio de los buques neutrales» explicó» entre otras cosas, las razones que tiene el gobierno para no conáscar las</t>
  </si>
  <si>
    <t>Howkk, Lord</t>
  </si>
  <si>
    <t>Lord Howkk</t>
  </si>
  <si>
    <t>retaria de la. comisión de negociantes que ¡trafican en América recibió ¿yer el iguicnte pav'el del Lord Howkk. ^ ,, Do'wningstrtet x.° de Enero de -j8o^.-Muy¡señor mío*, tengo la honfá de decir a V*, para que lo participe á ios negociantes interesados en el comercL de América, que el trat</t>
  </si>
  <si>
    <t>Hoyo de Molina, Manuel</t>
  </si>
  <si>
    <t>Manuel Hoyo de Molina</t>
  </si>
  <si>
    <t>quisiere mejorar las referidas posturas, lo practicará por la escribanía de la comisión, que exerce D. Manuel Hoyo de Molina. Por providencia de D. Juan Ximeno, juez comisionado real para la venta de bienes eclesiásticos en la diócesi de Málaga, se ha mandado sacar á pública subasta, por término de 30 d</t>
  </si>
  <si>
    <t>Hriiy</t>
  </si>
  <si>
    <t>ioso. Mr. Delambre leyó los elogios históricos de Brisson y de Coulomb; Mr; Cuvier el de Adanson, y Mr. Hriiy una memoria sobre los fenómenos galbánicos descubiertos por Ermann, individuo de la Academia de Berlín, en virtud de los quales ha obtenido este físico el premio anual fundado por</t>
  </si>
  <si>
    <t>Hubsch</t>
  </si>
  <si>
    <t>que el gabinete de S. James es incapaz de proceder contra las reglas de la justicia, ha entregado á Mr. Hubsch, encargado de negocios de Dinamarca, y procurador de dicho enviado, todos lqs. efeoío$ y muebles que le pertenecían á este último. Y’S.:A., concedíendo su protección á las familia</t>
  </si>
  <si>
    <t>Hughan</t>
  </si>
  <si>
    <t>ugnando el bilí propuesto como impolítico, y como destructor de las colonias y del comercio ingles. Mr. Hughan , que ha residido 10 años en las colonias* opinó que el bilí es impracticable , y que aun prescindiendo de la ruina total que causarla á nuestro comercio, haria muy desgraciada la</t>
  </si>
  <si>
    <t>Hugnet, Pedro</t>
  </si>
  <si>
    <t>Pedro Hugnet</t>
  </si>
  <si>
    <t>ra............ D. Rafael Suarez. En Zaragoza......... D. Tomás de la Madrid. En Zeüia ............. D. Pedro Hugnet, comisionado subalterno del de Cádiz. En ia gazeta extraordinaria del 13 del corriente, ai fin del artículo 4.0 del armisticio, dónde dice por la, parte del Frisch-ÍSerung} léase</t>
  </si>
  <si>
    <t>Huguet y Llocer, Fernando</t>
  </si>
  <si>
    <t>Fernando Huguet y Llocer</t>
  </si>
  <si>
    <t>ey, diócesi de Vich, vacante por promoción de D. Francisco Turón á otro de la catedral de Gerona: á D. Fernando Huguet y Llocer, racionero penitenciario de la catedral de Ibiza, para lá canongía de la colegiata de Pons, diócesi de Urgel, bacante por ascenso de D. Bartolomé Gispert á otra canongía de la col</t>
  </si>
  <si>
    <t>Huguet, Pedro</t>
  </si>
  <si>
    <t>Pedro Huguet</t>
  </si>
  <si>
    <t>mora........... D. Josef Ligero. En Zaragoza........ D. Tomas de la Madrid. En Zeuta............... D. Pedro Huguet, comisionado subalterno del de Cádiz. Para dar lugar á las rifas de varias alhajas de gusto y valor, que la fervorosa innata caridad de cierto bienhechor acaba de ceder en favor d</t>
  </si>
  <si>
    <t>n Zamora...... . D. Rafael Suarez. En Zaragoza....... D. Tomas de la Madrid. En Zenta.............. D. Pedro Huguet, comisionado subalterno del de Cádiz. VENTA JUDICIAL. Quien quisiere hacer postura á tifca casa sita en la calle de la Abada de esta corte, núm. .18, manz. 358, tasada en 432,836</t>
  </si>
  <si>
    <t>Hurtado, Carlos</t>
  </si>
  <si>
    <t>Carlos Hurtado</t>
  </si>
  <si>
    <t>. 7, en 77,233.Quien quisiere hacer postura acuda á la escribanía do ía subdclegacion, que despacha D. Carlos Hurtado. :¡ - , ': , , • AVISOS. Et real tribunal del consulado de comercio de Cádiz por providencia de 26 de junio última mandó citar y emplazar á todas y qualesquiera personas que presu</t>
  </si>
  <si>
    <t>Hurtado, Francisco</t>
  </si>
  <si>
    <t>Francisco Hurtado</t>
  </si>
  <si>
    <t>e edad de 28 años, la qual se hallaba algo demente. Quien supúre de su paradero se servirá avisar á D. Francisco Hurtado, presbítero en dicho pueblo, ó á D. Antonio González Breto, oficial de la tesorería general en esta corte. libros. Vida de Bonapartc , dedicada á S. A. el Sermo. Sr. Príncipe Gene</t>
  </si>
  <si>
    <t>Huskisson</t>
  </si>
  <si>
    <t>nias españolas luego que se verificase la:.conquista del Cabo. Mr. Pitt me encargó que presentara á Mr. Huskisson una lista de los sugetos quje me pareciese podían dar algunas luces para la ’execücion del proyecto, por si llegaba el caso de necesitarlos; se la di efectivameiSte, y él podrá ce</t>
  </si>
  <si>
    <t>resentó un bilí para restablecer en todo su vigor el relativo al comerció americano. A propuesta de Mr. Huskisson ha decretado la cámara que se haga una representación á S. M. suplicándole mande remitir ai parlamento el informe hecho por el colegio de medicina acerca de la vacuna. El informe</t>
  </si>
  <si>
    <t>Hutchinson, Lord</t>
  </si>
  <si>
    <t>Lord Hutchinson</t>
  </si>
  <si>
    <t>a a lí Francia: se aseguraba también qne esta noticia se habia recibido por despachos de oficio del Lord Hutchinson. Sin embargo Sospechamos que la noticia sea falsa. ITALIA. ■ . Itfdpoles 17 de enero. *■ Se han sabido algunas particularidades-acerca del te rre moto de la Pulla del i9 del basad</t>
  </si>
  <si>
    <t>Ibáñez, Joaquín</t>
  </si>
  <si>
    <t>Joaquín Ibáñez</t>
  </si>
  <si>
    <t>dos deba ser preferida: D. Joaquín Ibañez, barón de Eróles, sobre las ventajas que resultarían del plantío de bosques en las tierras comunes y concejiles que fuesen á propósito, y qual seria el medio mas económico y segur</t>
  </si>
  <si>
    <t>Ibargoicia, Juan</t>
  </si>
  <si>
    <t>Juan Ibargoicia</t>
  </si>
  <si>
    <t>e 1800 atravesando las Carolinas para elN. en la fragata Filipino del mando del teniente de fragata D. Juan Ibargoicia. VENTAS JUDICIALES. La comisión gubernativa de consolidación de vales reales ha mandado se saquen de nuevo á pública subasta diferentes viñas, á saber: en término de Vilches una v</t>
  </si>
  <si>
    <t>Ibarrola, Pablo Antonio</t>
  </si>
  <si>
    <t>Pablo Antonio Ibarrola</t>
  </si>
  <si>
    <t>en que se prueba que las heridas de armas de fuego son por sí inocentes, y sencilla su curación por D. Pablo Antonio Ibarrola: un tomo en 8.° marquilla, á ó rs. en rústica.^ Poesías escogidas de Fr. Lope Félix de Vega Carpió, con un discurso sobre la oda porMarmonceltun tomo en 8.°, á 12 rs. en pasta. Se</t>
  </si>
  <si>
    <t>Iglesia Serrano, Antonio</t>
  </si>
  <si>
    <t>Antonio Iglesia Serrano</t>
  </si>
  <si>
    <t>ria y Juan Pablo Chamochin, y se hizo mención honorífica de Eulogio Crespo y Blas Pardo___ En la de D. Antonio Iglesia Serrano el i.° por leer &amp;c. se adjudicó á Juan de Olmos y Cosme Albar, y por escribir á León Alvarez é Lidoro Lima; dándose el accessit en lo i.° á Pedro Pablo Orbaneja y Benito Maroto, y p</t>
  </si>
  <si>
    <t>Iglesias, Benito</t>
  </si>
  <si>
    <t>Benito Iglesias</t>
  </si>
  <si>
    <t>zas de peso, con los emblemas por anverso y reverso que acostumbra el jardin, á D. Lamberto Gil y á D. Benito Iglesias, á cada ano la suya por ser iguales en mérito; el segundo de quatro onzas de plataá D. Tomas Rodríguez y á D. Antonio Hernández, á cada uno la suya por el mismo motivo; y el terce</t>
  </si>
  <si>
    <t>s partes de la fructificación y su uso en los sistemas, y explicar la familia de las cruciformes: á D. Benito Iglesias disertar sobre las plantas híbridas, ó que provienen, como la rnula en el reyno animal, de una fecundación adulterina, y explicar la familia de las gramíneas: á D. Tomas Rodríguez</t>
  </si>
  <si>
    <t>Iglesias, Manuel</t>
  </si>
  <si>
    <t>Manuel Iglesias</t>
  </si>
  <si>
    <t>a, los tenientes de navio D. Gandido Lasala, D. Josef Posadas y D. Jacinto Romárate; los de fragata D. Manuel Iglesias, D. Benito Correa, D. Domingo Allende y D. Josef Miranda; los alféreces de navio D. Federico Lados y D. Jacinto Butler, y los de fragata D. Josef Aldana y D. Martin Asas. Los ataq</t>
  </si>
  <si>
    <t>IgnacioJVntonÍQ Martínez</t>
  </si>
  <si>
    <t>Miranda, caballero del orden de Santiago, del consejo real de las Ordenes, juez comisionado, y ante Don IgnacioJVntonÍQ Martínez , escribano de cámara del Rey nuestro señor mas antiguo y de gobierno «nía sala de señores alcaldes de corte, dando principio el yiérnes 6 de este mes, desde las 9 y media de la m</t>
  </si>
  <si>
    <t>II, Felipe</t>
  </si>
  <si>
    <t>Felipe II</t>
  </si>
  <si>
    <t>-antiguos coincide con ella. Esta legua común, ú horaria, la autorizó el Rey D. Felipe II, mandando que por legua se entendiese en los pleytos la legua común , esto es", la legua que ye usa en el país ; la qua</t>
  </si>
  <si>
    <t>Cotejo puntual</t>
  </si>
  <si>
    <t>III, Carlos</t>
  </si>
  <si>
    <t>Carlos III</t>
  </si>
  <si>
    <t>prontos y admirables efectos que se experimentáron de su uso, mandó el señor D. Cárlos III en 27 de Julio de 1787 se fomentase la extracción , acopio y comercio de esta preciosa quina. Desde aquella época ha id</t>
  </si>
  <si>
    <t>IJniers, Santiago</t>
  </si>
  <si>
    <t>Santiago IJniers</t>
  </si>
  <si>
    <t>, obra de la astucia con que el mayor "general logró sorprehender la generosidad y buena fe del Sr. D. Santiago IJniers, á quien hizo creer algunos dias después de la reconquista, que semejante papel no surtiría otro.efecto que el de poner- ' se á cubierto con su corte; y por último, lo que no tien</t>
  </si>
  <si>
    <t>ILamon García Ximenez</t>
  </si>
  <si>
    <t>o executará ante el Sr. D. León de Sagasta, teniente corregidor de esta villa, por la escribanía de D. ILamon García Ximenez. Por la audiencia del Sr. D. Torquato Antonio Collado, teniente corregidor de esta villa , y escribanía de D. Antonio Fernandez, se-ha sacado á pública subasta, por término de 30</t>
  </si>
  <si>
    <t>Ildefonso Crespo Manjon</t>
  </si>
  <si>
    <t>á D.Francisco Ignacio Moradíllo , oidor decano de la chancillería de Granada ; para esta resulta á D. Ildefonso Crespo Manjon, alcalde del crimen mas antiguo de la misma chancillería : y para la fiscalía del crimen de Sevilla» que,dexa D. Niéolas de Sierra* á D. Fulgencio Rubia de Celis S. M. se ha servi</t>
  </si>
  <si>
    <t>ente: „ Para la plaza de alcalde del crimen de la chancillería de Granada, vacante por promoción de D. Ildefonso Crespo Manjon á plaza de oidor del mismo tribunal, nombro á D. Antonio de la Parra, fiscal del juzgado del cuerpo de ingenieros en Alcalá de Henares; y para la vara de alcaide mayor de Villarob</t>
  </si>
  <si>
    <t>Ildefonso Martes</t>
  </si>
  <si>
    <t>e ha servido nombrar para una canongía de la metropolitana de Granada, vacante por fallecimiento de D. Ildefonso Martes, á D. Joaquín Antonio Luque, presbítero: para una ración de la catedral de Toledo, vacante por muerte de D. Pedro Sainz Rodríguez, á D. Baltasar Fernandez, presbítero: parados de</t>
  </si>
  <si>
    <t>Ilenry, Ángel Antonio</t>
  </si>
  <si>
    <t>Ángel Antonio Ilenry</t>
  </si>
  <si>
    <t>e la nación, y necesaria á todos los empleados en el ramo" de correos de España é Indias: .su autor D. Angel Antonio Ilenry, oficial 3.0 de la administración general de correos marítimos y terrestres en la Coru-' ña. Esta obra, en dos tomos en 4.0, aprobada por la superioridad, ha merecido que S. M. la</t>
  </si>
  <si>
    <t>Ilisarri, Lorenzo</t>
  </si>
  <si>
    <t>Lorenzo Ilisarri</t>
  </si>
  <si>
    <t>o perjuicio; previniendo que los acreedores ausentes eran D Manuel Josef Aguirre, vecino de Laredo, D. Lorenzo Ilisarri, de Toledo, y de Colmenar D. Juan Francisco Velez, D. Francisco Galan, Francisco González, y otros diferentes vecinos, á quienes con esta misma expresión declaró el concursante. S</t>
  </si>
  <si>
    <t>Imperial y Real, Príncipe</t>
  </si>
  <si>
    <t>Príncipe Imperial y Real</t>
  </si>
  <si>
    <t>l cuerpo diplomático. La Reyna de Holanda llegó á la’Haya él 29 de enero á las 7 de la noche con él Príncipe Imperial y Real su hijo primogénito. Escribende Burdeos y -Lyon, que-repitiéndose con freqiieneia los daños causados por los lobos en los campos» se han tomado las'disposiciones para perseguirlos</t>
  </si>
  <si>
    <t>Ingersleben, Coronel</t>
  </si>
  <si>
    <t>Coronel Ingersleben</t>
  </si>
  <si>
    <t>do Comandante de Stettin, ha dexado el servicio; el Sargento mayor Hardenberg ha sido degradado; el Coronel Ingersleben, Comandante dé Ciistrín, condenado á ser arcabuceado; el Sargento mayor Beckendorf, Comandante de Spandau, ha‘ dexado el servicio; el General Kleist y el Coronel Tressel, encargad</t>
  </si>
  <si>
    <t>Inglés, General</t>
  </si>
  <si>
    <t>General Inglés</t>
  </si>
  <si>
    <t>atravesandoel campos y que no habiendo sido comprehendido en la capitulación, obtuvo un permiso del General Inglés para entrar en Baenos^iAyres á ver á su: familia; y habiendo observado. la disposición, de las tropas yr ¿vecindario déspues de So iq diás que permaneció en la ciudad;, se fué por</t>
  </si>
  <si>
    <t>Ingles, General</t>
  </si>
  <si>
    <t>General Ingles</t>
  </si>
  <si>
    <t>Comandante de la expedición, revestido de toda su autoridad , mandó cesar el fuego, rindiéndose el General Ingles y la tropa á discreción , pues la nuestra queria pasarlos á cuchillo, lo que evitó el Comandante Linier. En este ataque general se arrastró ¿ brazo toda nuestra artillería, que.estuvo</t>
  </si>
  <si>
    <t>o sabe se impusiesen contribuciones al pueblo; perore! Cabildo hizo algunos préstamos, qúe pidió el General Ingles para mantener las tropas , en calidad de reintegro, que no sabe si se ha efectuado. P. Quál es el estado en que quedaba la provincia después de la reconquista , para oponerse á la</t>
  </si>
  <si>
    <t>heridos dé conseqiiencia , y matándoles, de unos. 35a 40. Al momento acudió al ruido del tiroteo el General Ingles á socorrerá sus gentes con la artillería á la cabeza de una coluna, que gradué de 400 á 500 hombres; pero habiendo mi Comandante de Artillería roto el fúego de obús sotjre ella á</t>
  </si>
  <si>
    <t>uerte? que la bandera blanca podría ser para pedir una suspensión de armas &amp;c. Verdaderamente si el General Ingles hubiese sido de mala fe, pudo haberla arriado despachando al Ayudante, y hacernos un destrozo horroroso, bien que nunca suficiente para quitarnos la victoria, aunque mucho mas ens</t>
  </si>
  <si>
    <t>Intendente General</t>
  </si>
  <si>
    <t>is de presidir, componiéndose de tres Oficiales Generales de mi Real Armada, un Intendente General de ella, un Auditor General, un Secretario, que lo será mío, un Contador, y un Tesorero, que aun mismo tiempo lo será General de la Marina; para cuyas plazas me pro</t>
  </si>
  <si>
    <t>Intendente Her</t>
  </si>
  <si>
    <t>de Campos D. Juan Moro Mozo, ha venido.&lt;el Re,ít en concederle los; honores dé Intendente Her exército. i Ei Capitán D. Francisco Aranguren Comandante de la bandera gene* rpl de América en Cádiz y obsequio: á las jbstas satisfacciones'idel Serenísimo Seño</t>
  </si>
  <si>
    <t>Ipáilanti, Príncipe</t>
  </si>
  <si>
    <t>Príncipe Ipáilanti</t>
  </si>
  <si>
    <t>l gran Señor ha dado al general Sebastiani, embaxador de Francia, la heredad de Taspia, que fue del Príncipe Ipáilanti. Ei Emperador llegó el 6 al palacio de Laxémburgo. El 9 vino á Vierta, asi;tío á un consejo de estado, y después dio audiencia á algunos minLtros extrangaros. Se asegura que debe</t>
  </si>
  <si>
    <t>Ipola, Manuel Ignacio</t>
  </si>
  <si>
    <t>Manuel Ignacio Ipola</t>
  </si>
  <si>
    <t>o nombrar para una canongía de la catedral de Toledo, vacante por muerte de D. Juan Félix García, á D. Manuel Ignacio Ipola, racionero dé la misma; y para la ración que este dexa á D. Agustín Alexandro Galan: para una canongía de la colegial de Cervatos, en la diócesi de Burgos, vacante por muerte de D</t>
  </si>
  <si>
    <t>Ipsiianti, Príncipe</t>
  </si>
  <si>
    <t>Príncipe Ipsiianti</t>
  </si>
  <si>
    <t>habia regalado á nuestra legación un palacio de z recreo, con los jardines que tenia en Therapia el Príncipe Ipsiianti, padre del último hospodar de Valaquia, ESPAÑA. Madrid 22 de mayo.. En atención á los méritos y circunstancias de D. Vicente de Hore, mi consejero de Indias, y asistente de Sevill</t>
  </si>
  <si>
    <t>Ipsilanti, Príncipe</t>
  </si>
  <si>
    <t>Príncipe Ipsilanti</t>
  </si>
  <si>
    <t>ta, ultima potencia se. embarcó el 29 de diciembre para Malta. La Puerta, ha depuesto nuevamente al Príncipe Ipsilanti,, y ha nombrado en su lugar al Príncipe Suzzo. , El Marques Luchesini,. Ministro de Prusia,, llego aquí el dia 17. Desde. luego se creyó que vendría con alguna comisión del Rey su</t>
  </si>
  <si>
    <t>sta de 15® hombres. El Príncipe Suzzo há sido hombrado Hospodar de Valaquia, y declarado traydor el Príncipe Ipsilanti, y pregonada su cabeza. El correp tártaro encontró al Embaxador pers’a á la mitad del camino que vá dé Constantinopla á Widin, y mas allá de esta última ciudad ai Embaxador extrao</t>
  </si>
  <si>
    <t>ión éntre los hombres? La Puerta sabia, á no poder dudarlo mucho tiempo hace, que le era traydor el Príncipe Ipsilanti , Hospodar de Valaquia, y no fiaba del todo en el Príncipe Mqruzzi, Hospodar de Moldavia. En uso de su incontestable derecho de. soberanía los depuso á entrambos, y nombró eivsu l</t>
  </si>
  <si>
    <t>á Silistriá. Se dice que han hecho un tratado particular el comandante turco y el empleado ruso. El Príncipe Ipsilanti vive con su familia en Kaminiek hasta que las resultas de la guerra decidan sobre su buena ó mala suerte. POLONIA. Varsovia 2 2"de abril. De 15 dias á esta parte han llegado al ex</t>
  </si>
  <si>
    <t>pugnancia en tomar las armas. El general Michelson ha dirigido fuertes quejas y representaciones aí Príncipe Ipsilanti, el qual había asegurado á la corte de Petersburgo y los generales rusos que les seria muy fácil juntar un exércitó de 30 á 4o3 hombres de ios habitantes de estas dos provincias.</t>
  </si>
  <si>
    <t>. Los primeros se han replegado para concentrar sus fuerzas. El 3 de junio salieron de Bucharest el Príncipe Ipsilanti y su familia, y los generales Milloradowich y Ulanius. Estos últimos-partieron con sus divisiones hácia Eoksany, en donde se hallaba desde el 30 de mayo el general Michelson y la ar</t>
  </si>
  <si>
    <t>, se volvió á adelantar, obligó á retirarse al cuerpo turco , y ocupó sus anteriores posiciones. El Príncipe Ipsilanti dirigió una proclama á los habitantes que habían abandonado á Bucharest, para que se restituyesen á sus hogares. Los rusos ocuparon la Valaquia menor, interceptaron la comunicació</t>
  </si>
  <si>
    <t>ués que hayan salido enteramente las tropas de ambas naciones, á un divan compuesto de boyardos. El Príncipe Ipsilanti, y los demas que estaban encargados de la administración, han recibido orden para suspender sus funciones hasta que en la paz definitiva se decida la suerte de aquellos países. El</t>
  </si>
  <si>
    <t>parte de la Rusia, de Mr. Rodofinikin, del consejero Bisani, de un boyardo y de un gentilhombre del Príncipe Ipsilanti; y por parte de la Servia, del general Cerni-Jorge Petrowitsch, del comandante Mladen-Milloranowich, de dos senadores y de un secretario del sínodo. El consejero Bisani ha ido á P</t>
  </si>
  <si>
    <t>emejantes casos, y que lo primero que se ha estipulado para pasar á Bucharest ha sido la salida del Príncipe Ipsilanti de esta ciudad, porque su presencia pudiera perjudicar á la tranquilidad é independencia que necesitan los negociadores. El Príncipe Ipsilanti salió efectivamente para Petersburgo ccn</t>
  </si>
  <si>
    <t>Irigo'-en, Juan Pedro</t>
  </si>
  <si>
    <t>Juan Pedro Irigo'-en</t>
  </si>
  <si>
    <t>azar á qualquiera que se considere interesado ó acreedor á la dependencia de los autos formados por D. Juan Pedro Irigo'-en menor, en razón de la aprobación de cierto acuerdo establecido con sus acreedsres v de su compañía, para que comparezca en el mismo tribunal y juicio á formalizar su derecho, con</t>
  </si>
  <si>
    <t>Irigoyen, Juan Pedro</t>
  </si>
  <si>
    <t>Juan Pedro Irigoyen</t>
  </si>
  <si>
    <t>se le considerará sin derecho á ella, y por el mero hecho quedará cancelada la fianza mandada dar á D. Juan Pedro Irigoyen el mayor.</t>
  </si>
  <si>
    <t>Irigoyen, Miguel</t>
  </si>
  <si>
    <t>Miguel Irigoyen</t>
  </si>
  <si>
    <t>ralísimo Almirante lc-s pliegos de oficio sobre la reconquista dé Buenosr Ay res, que han conducido D. Miguel Irigoyen y D; Manuel Obarrio, comisionados al efecto por aquel gobierno, y comprueban exactamente lás noticias comunicadas al público en las gateras de Madrid de 16 y 20 de, enero último ,-se</t>
  </si>
  <si>
    <t>Isaac Díaz de Goveo, Gregorio</t>
  </si>
  <si>
    <t>Gregorio Isaac Díaz de Goveo</t>
  </si>
  <si>
    <t>se. Véndese á real en la librería de Escribano. Puede ir en carta. Mis amores, ó poesías líricas de D. Gregorio Isaac Díaz de Goveo. Se hallarán en las librerías de Fuentenebro, Orea, Campo y Moreno. MUSICA. En la librería de Dávila, calle de las Carretas, se hallará la música siguiente: 6 variaciones de mucho</t>
  </si>
  <si>
    <t>Isabel de Castilla</t>
  </si>
  <si>
    <t>rpo. Después leyó D. Diego Clemencia, individuo numerario del mismo, el elogio de la Reyna Católica Doña Isabel de Castilla, que había trabajado por encargo de la propia academia. Y por último el académico D. Martia Fernandez de Ñavarrete leyó un epítome de la disertación escrita por D. Josef de Vargas</t>
  </si>
  <si>
    <t>Isabel Felipa Reggio Chatres Branciforte y Gravina</t>
  </si>
  <si>
    <t>res 1.201,950 rt. En 17 del corriente, á los 64 años de edad, falleció em esta corte la Excma. Sra. Doña Isabel Felipa Reggio Chatres Branciforte y Gravina, Princesa de Yachi y Campoflorido , Marquesa de Valdecarzana &amp;c. A quantos la trataron será sensible su muerte, y grata la memoria de su talento, su espíritu, su don de gentes-, s</t>
  </si>
  <si>
    <t>Isabel la Católica</t>
  </si>
  <si>
    <t>l Valerio Máximo recopiló el arcipreste Diego Rodríguez de Alíñela, capellán y cronista de la reyna Doña Isabel la Católica: 8.a edición, ilustrada con varias notas y noticias de la vida y escritos dei autor, por Don Juan Antonio Moreno. Esta obra, que s? publicó la primera vez baxo el título de Valeri</t>
  </si>
  <si>
    <t>Isasmendi, Pedro</t>
  </si>
  <si>
    <t>Pedro Isasmendi</t>
  </si>
  <si>
    <t>D. Baltasar Josef Vincenz: en el de Soria compañía al teniente de granaderos, graduado de capitán, D. Pedro Isasmendi: teniente al subteniente de granaderos D. Francisco Pradas; y subtenencia dé bandera al cadete D. Fulgencio Bernabeu. En el regimiento de caballería del Príncipe se ha servido S.</t>
  </si>
  <si>
    <t>Isidro Camaleño</t>
  </si>
  <si>
    <t>defecto les parará el perjuicio que haya lugar. Quien supiere del paradero de D.Isidro Camaleño, natural de la villa de Reynosa , nof¡abrado heredero del difunto D. Diego Rodríguez Olea, se servirá avisarlo á D, Pedro Gutiérrez de! DcsaJ, vecino do la misma villa. Se desea saber si h</t>
  </si>
  <si>
    <t>Isnardt, Lucas</t>
  </si>
  <si>
    <t>Lucas Isnardt</t>
  </si>
  <si>
    <t>rá ¿4 r*. en la librería de Fuentcnebro y compañía , cálle de las Carretas, y en Badajoz en casa dé D. Lucas Isnardt. ' « . Se victos raros de artes y oficios, tomo 8»° Esta obra presenta una colección dé</t>
  </si>
  <si>
    <t>Italinski</t>
  </si>
  <si>
    <t>litmas: todos corren á las armas para rechazar la agresión mas injusta que sé ha conocido. - ■• v ■ Mr. Italinski solo ha podido evitar hasta ahora el ser encerrado en las Siete* Torres, á fuerza de ofrecer que á la vuelta del correo que ha despachado, recibirán los rusos la orden de evacuar</t>
  </si>
  <si>
    <t>ción. En los Dardanelos le esperaba una fragata para conducirle á Malta. La víspera de la salida de Mr. Italinski entró en el Bosforo, sin noticia del rompimiento entre ambas cortes, nn paquebot ruso, procedente de Sebastópolís, cargado de efectos militares y de dinero para Corfú, y ai pasar po</t>
  </si>
  <si>
    <t>Italinski, Príncipe</t>
  </si>
  <si>
    <t>Príncipe Italinski</t>
  </si>
  <si>
    <t>Príncipe Constantino ha sido nombrado inspector general de la caballería, y tenientes generales el Príncipe Italinski, el conde Souwarow y Mrs. Rynsnisky, Alsufyeff, Sufonoff, Steinhell y Bagdonoff. El Príncipe Prosorowsky, que acaba de ser promovido á la dignidad de feld-mariscal, sucede al gene</t>
  </si>
  <si>
    <t>Italinsky</t>
  </si>
  <si>
    <t>l Embaxador dé Francia ha aconsejado á la Puerta que nóponga en las Siete-Torres, como iatentaba, á Mr. Italinsky, sino que le haga salir del imperio con honor.</t>
  </si>
  <si>
    <t>s en Valaquia y Moldavia, de Mr. Arbuthnot, embaxador de Inglaterra cerda de la sublime Puerta , de Mr. Italinsky, enviado de Rusia en la misma corte, y de otros agentes rusos, relativas todas á la reciente invasión de Turquía. En ellas se quiere justificar la conducta é intenciones del gabin</t>
  </si>
  <si>
    <t>Iturbe, Agustín</t>
  </si>
  <si>
    <t>Agustín Iturbe</t>
  </si>
  <si>
    <t>Malo; á teniente de granaderos ai de fusileros Don Juan Bautista Guerra; á teniente ai subteniente D. Agustín Iturbe, yá subteniente de granaderos ál de fusileros D. Juan Lejarza.</t>
  </si>
  <si>
    <t>IV, Felipe</t>
  </si>
  <si>
    <t>Felipe IV</t>
  </si>
  <si>
    <t>o del Señor Rey Dan Cáríos I, el segundo Don Juan de Austria, hijodel Señor Don Felipe IV, el Infante Don Felipe , mi muy amado tio y suegro; y las que siempre han correspondido al Almirantazgo de los mares, c</t>
  </si>
  <si>
    <t>IX Joséf Chueca y Mezquita</t>
  </si>
  <si>
    <t>dea de esta festividad, la nona y misa traducidas, y algunas reflexione* sobre el evangelio, por el Dr. IX Joséf Chueca y Mezquita : un toniitO én 8;° Se hallará en la librería de Cerro, calle de las CarretasVersión parafrástica castellana del oficio y misa de la festividad de Pentecostés ó venida del Espírit</t>
  </si>
  <si>
    <t>IX León de Sagasta</t>
  </si>
  <si>
    <t>eón de Sagasta, por la escribanía de D. Miguel Gonzalo. Por providencia del Sr. IX León de Sagasta, teniente corregidor de esta villa, se ha mandado sacar á pública subasta, por término de 15 dias contados desde el 23 del presente, una casa sita en esta corte, calle del Mesón de Paños, n</t>
  </si>
  <si>
    <t>IX Tomás García Suelto</t>
  </si>
  <si>
    <t>vida , y la muerte , por Francisco Xavier BicHat, traducidas al castellano por IX Tomas García Suelto, médico de número y de extrangeros de los reales hospitales, é individuo de numero de la real academia médica de Madrid: tomo 2.0, que comprehende el tratado de la muerte, y con el qual s</t>
  </si>
  <si>
    <t>Izco y Cortés, Francisco</t>
  </si>
  <si>
    <t>Francisco Izco y Cortés</t>
  </si>
  <si>
    <t>mayor de Navarra, también nacional, por jubilación de Don Francisco Xavier González de Castejon, á D. Francisco Izco y Cortés; y para la fiscalía del crimen de la audiencia de Sevilla, por renuncia de Don Fnlgencio Rubín de Celis, á D. Miguel Gómez García, en consideración al mérito que ha contraido en l</t>
  </si>
  <si>
    <t>Izquierdo, Antonio María</t>
  </si>
  <si>
    <t>Antonio María Izquierdo</t>
  </si>
  <si>
    <t>honores de ministro 4el tribunal apostólico y real de ia gracia del Excusado á su capellán de honor D. Antonio María Izquierdo, en atención á sus méritos y distinguidos servicios. También ha concedido el Rey á D. Joaquín Leandro de Solis, teniente primero de asistente de la ciudad de Sevilla, honores de a</t>
  </si>
  <si>
    <t>Izquierdo, Domingo</t>
  </si>
  <si>
    <t>Domingo Izquierdo</t>
  </si>
  <si>
    <t>dro Mendinueta, inspector general de milicias, conde de Santa Clara, capitán general de Cataluña, y D. Domingo Izquierdo, que lo es del reyno de Valencia. Igualmente se ha servido S. M. conferir la capitanía general del exército y principado de Cataluña al teniente general el señor conde de Ezpeieta</t>
  </si>
  <si>
    <t>Izquierdo, Julián</t>
  </si>
  <si>
    <t>Julián Izquierdo</t>
  </si>
  <si>
    <t>lencia, en la provincia de Venezuela, ha nombrado S. M. sargento mayor veterano al teniente coronel D. Julián Izquierdo, ayudante mayor del de pardos de- Caracas; y para ayudantes i.° y 2.0 de los batallones de pardos y blancos de Valles de Aragua á Don Francisco Antonio Rodríguez y D. Josef Benzal</t>
  </si>
  <si>
    <t>Jaan Kearney</t>
  </si>
  <si>
    <t>arió, de la referida comisión de literatos: D. Félix de las Cuevas, abogado de los reales consejos: D. Jaan Kearney: D. Josef Manuel del Rio: D. Eugenio de Aravaca, médico: el P. Alexandro Martínez del Patrocinio de la VE gen, de las escuelas pías; y D. Joaquín de Garay y Artabe.__ A todos esto</t>
  </si>
  <si>
    <t>Jackson</t>
  </si>
  <si>
    <t>er por este medio comunicación con la división del almirante Keats. Kiel 18 de agosto. Dias pasados Mr. Jackson, comisionado ingles, presentó en Kiel al Príncipe Real las pretensiones de su gobierno. Este, sin dar razón ninguna, exigía la formación de una alianza ofensiva y defensiva, para</t>
  </si>
  <si>
    <t>nombre de barón de Stein, y con un pasaporte que decia iba á tomar baños para restablecer su salud. Mr. Jackson, enviado de Inglaterra., atravesaba al mismo tiempo el Belt en una fragata inglesa, la qual pasó al lado del barco en que venia S. M. Copenhague 18 de agosto. Los ingleses siguen</t>
  </si>
  <si>
    <t>brado un consejo privado, y se ha vuelto á Windsor. Una de las personas presentadas á S. M. ha sido Mr. Jackson, que á la vuelta de su comisión en Dinamarca, ha sido nombrado del consejo privado del Rey, y hoy ha prestado juramento, y tomado posesión de su plaza. Mr. Sharpe, encargado de un</t>
  </si>
  <si>
    <t>Jacobi J Dlxéron</t>
  </si>
  <si>
    <t>do nada sobre la determinación de la Prusia. íQué hacían pues sus Ministros en sus conferencias con Mr. Jacobi J Dlxéron á ía Francia que querían el Hannóver. La Francia eludió la qiiístion; pero ai mismo tiempo había dado*á entender que la -Prusia no había cumplido las condk iones que había firmado</t>
  </si>
  <si>
    <t>Jacobo</t>
  </si>
  <si>
    <t>ncia del señor teniente corregidor 4e esta villa D. León de Sagasta, ante el escribano de su número D. Jacobo,Manrique, se han mandado sacar á pública subasta, por término de 30 dias contados desde cí 17 d,e noviembre</t>
  </si>
  <si>
    <t>Jacobo Blanco</t>
  </si>
  <si>
    <t>D. Josef de Pardo y Cela y D. Joaquín Signes, y al capitán de milicias del provincial de Valladolid D. Jacobo Blanco; y subtenencias de bandera al sargento primero de granaderos D. Benito Viiluela, y al cadete D. Félix Francisco Camarasa. También se ha servido el Rey conceder en el batallón de i</t>
  </si>
  <si>
    <t>Jacobo Carnicer</t>
  </si>
  <si>
    <t>Santos Fernandez San Miguel, y en el segundo batallón de voluntarios de Aragón al sargento primero D. Jacobo Carnicer; y en eL de Ñapóles subtenencia de bandera al cadete D* Josef María Martínez* En consideración al mérito y circunstancias de D. Francisco Dufóo, contador de la real compañía de Fi</t>
  </si>
  <si>
    <t>Jacobo Gordon</t>
  </si>
  <si>
    <t>os discursos alusivos al objeto y én .elogio del Serenísimo :Señor Príncipe Generalísimo Almirante, D. Jacobo Gordon , vecino y labrador de Xerez de. la Frontera, presentó.una memoria , ,en que.hace mención de la variedad.de arados y otros instrumento^ de agricultura :que ha,.traidqi de, Inglate</t>
  </si>
  <si>
    <t>an Josef Bueadia, cadete de la misma. En la gazeta de 3 de febrero último se anunció al pubiico que D. Jacobo Gordon, vecino de Xerez de la Frontera,-había entregado una colección de instrumentos de labranza á la comisión del jardín experimental y de aclimatación de Sanlucar de Barrameda el dia</t>
  </si>
  <si>
    <t>Jacobo Latas</t>
  </si>
  <si>
    <t>Bustamante y Almarza: para una ración de La metropolitana de Santiago, vacante por fallecimiento de D. Jacobo Latas, á D. Vicente Castro y Vahamonde: para el arciprestazgo beneficio simple de Cerezo, en la diócesi de Búrgos, vacante por muerte de D. Félix López Dávalos, á D. Josef Cayuela del C</t>
  </si>
  <si>
    <t>Jacobo Manuel Manrique</t>
  </si>
  <si>
    <t>a villa de Colmenar viejo. Quien quisiere hacer postura acuda ante dicho Señor por la escribanía de D. Jacobo Manuel Manrique. Para el remate dé una capilla sita en fa iglesia de PP. dé Sto. Tomas dé esta corte, con el título de Ntra.Sra. de las Nieves,que se vende para pago de acreedores, y se halía tas</t>
  </si>
  <si>
    <t>señor teniente corregidor de esta villa D. Torquato Antonio Collado, ante el escribano de su número.D. Jacobo Manuel Manrique, se ha mandado sacar á subasta, por término de 30 dias contados desde el 5 del corriente, baxo del precio de 212,455 r**» cn Ia inteligencia que de estos, ó del preció de su remat</t>
  </si>
  <si>
    <t>Jahsséns</t>
  </si>
  <si>
    <t>su carácter, sus luces y empleos han facilitado adquirir las mejores y mas exactas noticias, que es Mr. Jahsséns, en otro tiempo gobernador del Cabo, y hoy dia consejero de Estado del rey de Holanda. Estas son algunas de sus principales observaciones. Los bosquimanes son un pueblo salvage, f</t>
  </si>
  <si>
    <t>Jaidero, Joaquín</t>
  </si>
  <si>
    <t>Joaquín Jaidero</t>
  </si>
  <si>
    <t>eniente de fusileros al cadete D. Andrés Cristian Riedy. En consideración á los buenos servicios de D. Joaquín Jaidero se ha tervido S. M. concederle los honores de tesorero de exército. £n América. El Rey se ha servido nombrar para la canongía de la catedral de Córdoba del Tucuman, vacante por fa</t>
  </si>
  <si>
    <t>James</t>
  </si>
  <si>
    <t>prontos á dar la vela 12 navios de linea y 4 fragatas* él almirantazgo ha mandado executivámente á Sir James. Saumarez que salga de Torbay con su división á continuar el cruce* eo delante de aquel puerto. : El general Reed ha muerto el 6 de febrero de edad de 87 anos. El mando del regimi</t>
  </si>
  <si>
    <t>James Costellis</t>
  </si>
  <si>
    <t>auxiliares en Hydrabad. "Extracto ds las cartas halladas á bordo de la, presa inglesa el Grappler. Mr. James Costellis al teniente coronel Schaive. Cambaya T&lt;&gt; de febrero de i8o(T. No puedo ponderaros los vivos deseos que todo ti mundo tiene de que el general WeUedey venga aqui de gobernador : ser</t>
  </si>
  <si>
    <t>James Craig</t>
  </si>
  <si>
    <t>a resuelto aumentar las fuerzas de mar y tierra en nuestras posesiones de la América septentrional. Sir James Craig, nombrado comandante en gefe de las tropas inglesas en aquellos dominios, ha tenido audiencia de despedida de S. M., y marchará á fines de este mes á su destino, á bordo del navio</t>
  </si>
  <si>
    <t>ndres ya no hay esperanza de que se restablezca la buena armonía con los Estados-Unidos de América. Sir James Craig estaba para salir de Inglaterra con una esquadra compuesta de un navio de 74, 3 fragatas y muchos transportes, con 3 regimientos destinados para defender la Nueva-Escocia y el Canad</t>
  </si>
  <si>
    <t>James Saumarez</t>
  </si>
  <si>
    <t>rse como bloqueados; por lo qüai no permitiría salir libremente á ninguna embarcación. El almirante Sir James Saumarez ha venido de la esquadra del canal, y ha tenido una larga conferencia con los individuos del almirantazgo. El cúter Fair ha entrado en Yarmouth con pliegos de Stralsund, los quale</t>
  </si>
  <si>
    <t>Janko-Karadia, Príncipe</t>
  </si>
  <si>
    <t>Príncipe Janko-Karadia</t>
  </si>
  <si>
    <t>resuelto encargar esta comisión á Muhib-eífendi, embaxador de la Paerta en la corte de Francia. El Príncipe Janko-Karadia sucede al Príncipe Suzzo en la dignidad de primer intérprete de la sublime Puerta. Las cartas de Trieste dicen que han llegado á Malta las reliquias del exército ingles de Egipto;</t>
  </si>
  <si>
    <t>Janssens</t>
  </si>
  <si>
    <t>468 raímente porque el país les proporciona alimento mas abundante. Según el testimonio de Mr. Janssens los bosquimanes no son bien hechos, corno dice el viagero ingles, por io menos su conforjnacion es diferente de la de los europeos; y señaladamente las mugeres tienen una deformidad m</t>
  </si>
  <si>
    <t>Jara Achmuty</t>
  </si>
  <si>
    <t>las expediciones marítimas, sin saber el destino de las que se han hecho á la vela. La esquadra de Sir Jara Achmuty no ha tardado en salir para Buenos-Ayres mas que un mes, desde que hubo noticias de la toma de aquella plaza. .propósito de esta conquista, yo soy uno de los, que han pedido sé pr</t>
  </si>
  <si>
    <t>Jares Ma, Francisco</t>
  </si>
  <si>
    <t>Francisco Jares Ma</t>
  </si>
  <si>
    <t>ego Trigueros, vecino que fue de esta corte, para que dentro de go dias comparezcan en el oficio de D. Francisco Jares Ma{donado, por sí ó por procurador con poder bastante, á pedir y hacer lo que les convenga; con apercibimiento de que pasado el referido término, sin mas citarles ni emplazarles, se</t>
  </si>
  <si>
    <t>Jasso, Santiago</t>
  </si>
  <si>
    <t>Santiago Jasso</t>
  </si>
  <si>
    <t>nor, para el Préstamo del lugar de Ateca, de la diócesis ae Tarazona. S. M. se ha servido nombrar á D. Santiago Jasso para un Beneficio patrimonial de la parroquial de Fuentes de Ebro, diócesis de Zaragoza. » El Rey se ha servido conceder en el regimiento de infantería de la Reyna -Tenencia al Su</t>
  </si>
  <si>
    <t>Jaure, Vicente</t>
  </si>
  <si>
    <t>Vicente Jaure</t>
  </si>
  <si>
    <t>de bandera i los cadetes D. Manuel Cañedo y D. Mariano Quevedo, y al sargento primero de granaderos D. Vicente Jaure. REALES COLEGIOS DE CIRUGIA. El curso de cirugía se abre en los reales colegios !e esta facultad de 'Madrid, Barcelona, Burgos y Santiago, en conformidad á lo prevenido eñ las ord</t>
  </si>
  <si>
    <t>Jayme Amat</t>
  </si>
  <si>
    <t>ía á D. Juan de Torres y Leis, tesorero de rentas de la provincia de Segovia, y para esta resulta á D. Jayme Amat. NOTICIAS DE BUENOS-AYRES. En la gazeta ntüm. 72 te insertaron algunos documentos que prueban y demuestran la mala fe de los ingleses por una parte, y la lealtad y honor acrisolad</t>
  </si>
  <si>
    <t>Jayme Bonelf</t>
  </si>
  <si>
    <t>Luna, á 38 rs. en pergamino y 44 en pasta. Curso completo de anatomía del cuerpo humano, por el Dr.D. Jayme Bonelf* y D. Ignacio Lacaba, en g tomos en8.° En el discurso preliminar se da una breve historia de la anatomía desde su origen hasta el siglo xvin. En los 5 tratados, que comprehenden l</t>
  </si>
  <si>
    <t>Jayme Carbonell y Cláret</t>
  </si>
  <si>
    <t>dral de Tortosa, vacante por promocfefi de"í7Sb Tomas Burgués' á otra libre de la misma catedral: á D. Jayme Carbonell y Cláret para un beneficio llamado Doma segunda de* la iglesia de S. Eduaí— do 'de Ripolii nulUiti* dióecesis i én Cataluña, vafeante por fallecimiento de DnJosefiTarlágb; y á D. Joséf Fer</t>
  </si>
  <si>
    <t>Jayme Esquella</t>
  </si>
  <si>
    <t>la invencible capital del Perú. ESPAÑA. Madrid 14 de abril de 180y.» S. M. se ha servido nombrar á D. Jayme Esquella para una"canongía de la catedral de Menorca, vacante por fallecimiento de D. Juan Esquella. En el regimiento de reales guardias Walonas se ha servido el rey conceder el empleo de</t>
  </si>
  <si>
    <t>Jayme Gaya</t>
  </si>
  <si>
    <t>la Oyuela para el arcedianato de Cervera, dignidad de la catedral de Tortosa, vacante por muerte de D. Jayme Gaya: á D. JuanBecerril é Hinojosa para una canon</t>
  </si>
  <si>
    <t>Jayme Manent</t>
  </si>
  <si>
    <t>Valcedo, i.° D. Antonio Guijarro: procurador D. Gaspar Teruel: contadores el Sr. barón de Manuel y D. Jayme Manent: tesorero D. Pedro Bergeyre : celadores ecle« siásticos de ios exercicios espirituales el Dr. Fr. D. Tomas Benito Nadal, del orden de San Juan, y D. Francisco Alberto Miró: celado</t>
  </si>
  <si>
    <t>Jayme Oliva</t>
  </si>
  <si>
    <t>ndado en la parroquial de Sta. María de las Llosas, diócesi de Viqae, vacante por fallecí miento de D. Jayme Oliva, á D. Antonio Caballería. S. M. se ha servido nombrar para una canongía de la catedral de León, vacante por fallecimiento de D. Ignacio Pascual Barra, á D. Antonio Cortés y Arias,</t>
  </si>
  <si>
    <t>Jayme Terrasa</t>
  </si>
  <si>
    <t>e Mallorca, para la dignidad de arcediano titular de la misma iglesia, vacante por fallecimiento de D. Jayme Terrasa, con retención de la canongía que disfruta en ella; y para la canongía vacante en la colegiata de la ciudad de S. Felipe, diócesi de Valencia, por muerte de D. Pedro Redondo, á D.</t>
  </si>
  <si>
    <t>Jayme Torrens</t>
  </si>
  <si>
    <t>ra una ración afecta al magisterio de capitlade la catedral de Málaga, vacante por fallecimiento de D. Jayme Torrens, á D. Juan Bros: para un beneficio de laprioral del Puerto de Sta. María, en la diócesi de Sevilla, vacante’por muerte de D. Miguel Angel de Brea, á D. Pedro Lobo Mesía de Monroy,</t>
  </si>
  <si>
    <t>Jayméf Bonay y Corrioi</t>
  </si>
  <si>
    <t>ía de la colegiata de S. Feliu de la ciudad de Gerona, vacante por dimisión de D. Luis Rovira i’ á7 D. Jayméf Bonay y Corrioi parfi un beneficio de la catedral de Gerona, vacante pór muer té'de D. Miguel’ Rós *. U D. Josef Vilar para otro beneficio1 dé la parrbquulde S. Pedro Pescador del obispado de Ger</t>
  </si>
  <si>
    <t>Jaymer de Aragón</t>
  </si>
  <si>
    <t>del Obispo de Valencia D. Raymundo Despont : correspondencia de varias cartas entre Inocencio iy y D. Jaymer de Aragón. Se hallará con los anteriores en el despacho de la imprenta Real, y,en Valencia en la librería de Mallen. El tomo v, que trata de la iglesia-de Tortosa, está ya impreso,y se publ</t>
  </si>
  <si>
    <t>Jaynie Donay</t>
  </si>
  <si>
    <t>o de D. Miguel Ros, y por no haber tenido efecto el nombramiento hecho para este mismo beneficio en D. Jaynie Donay: á D. Pedro Antonio Mallafre para otro beneficio de la metropolitana de Tarragona,, baxp la invocación ae las ontce; mil vírgenes , vacante por muerte de D. Buenaventura Pomarol.</t>
  </si>
  <si>
    <t>Jayrne, Manuel</t>
  </si>
  <si>
    <t>Manuel Jayrne</t>
  </si>
  <si>
    <t>. Muert. 102 ... 9. Manuel Jayrne ......... de Josef. ....... Valencia ...................... 1801 .. Muert. 41. .. 19. Mariano Aleman ..... de Mariano ... Alcalá de Denia .</t>
  </si>
  <si>
    <t>Jcaquin Fusell</t>
  </si>
  <si>
    <t>te del reyno: eligió para este efecto, entre sus individuos de número, á D. Joaquín de la Creix y á D. Jcaquin Fusell, sugetos dignos de*toda confianza de la real Sociedad, y acreedores á su mayor aprecio, así por su laboriosidad y zelo patriótico, como por su ilustración y conocimientos literari</t>
  </si>
  <si>
    <t>Jcsef Andrés Delgado</t>
  </si>
  <si>
    <t>a servido conceder en el regimiento de infantería de Valencia tenencia al subteniente de granaderos D. Jcsef Andrés Delgado, y en el de León subtenencia de bandera al cadete D. Josef González. El capitán de navio y comandante de las fuerzas sutiles del apostadero de Málaga D. Francisco Maurell ha dado</t>
  </si>
  <si>
    <t>Jcsef de Ortiz, Juan</t>
  </si>
  <si>
    <t>Juan Jcsef de Ortiz</t>
  </si>
  <si>
    <t>evideo D. Miguel Ignacio de la Quadra, de quien quedó, con el derecho,de cumplir su última voluntad D. Juan Jcsef de Ortiz, cura y vicario de dicha ciudad, y mandado por ella dar de sus bienes 500 pesos á Doña Ramona de la Quadra, y á los parientes del referido finado hasta el tercer grado inclusive 1</t>
  </si>
  <si>
    <t>Jcsef de Vergara</t>
  </si>
  <si>
    <t>acionero D. Vicente de Arcega; y para otra media ración de la mi&lt;ma iglesia, vacante por ascenso de D. Jcsef de Vergara, á D* Camilo Pividal, presbítero* En cumplimiento de lo mandado en real pragmática-sanción de 50 de agosto de 1800, desde i.° de abril prqxímo hasta 31 de mayo se presentarán los</t>
  </si>
  <si>
    <t>Jcsef Demetrio Rodríguez</t>
  </si>
  <si>
    <t>Mariano Lagasca, que recorrió las montañas, y toda la costa de Asturias, y después el vice-profesor D. Jcsef Demetrio Rodríguez, que recorrió el reyno de Sevilla, y parte de la costa, á tiempo que D. Simón de Roxas Clemente, actual bibliotecario del mismo jardín, recorría el de Granada. Compiten entre sí l</t>
  </si>
  <si>
    <t>Je, Almirante</t>
  </si>
  <si>
    <t>Almirante Je</t>
  </si>
  <si>
    <t>as sobresalientes calidades personales, sino también la de que por su alta dignidad de Generalísimo Almirante Je corresponde la precedencia sobre toda clase de personas, después de las de ios Infantes de España, le nombro Decano de dicho mi Consejo ie Estado. TendreUlo entendido, y lo comuni</t>
  </si>
  <si>
    <t>JefFerson</t>
  </si>
  <si>
    <t>n plena paz. Algunos papeles del partido federalista han insinuado que los' disgustos ocasionados á Mr. JefFerson, sobre todo con motivo de la causa de Bucr, le han determinado á renunciar la presidencia. El hecho es, como lo ha confesado él mismo, que considera como inconstitucional el ser r</t>
  </si>
  <si>
    <t>Jefferson</t>
  </si>
  <si>
    <t>dos en un consejo de guerra presidido por el vice-almirante Cochrane. El presidente de los Estados, Mr. Jefferson, dió muestras de la mayor indignación al recibir la noticia de este último agravio; y si se ha de juzgar por los diarios ministeriales de aquel pais, parece que el presidente está</t>
  </si>
  <si>
    <t>Jefferson, Tomás</t>
  </si>
  <si>
    <t>Tomás Jefferson</t>
  </si>
  <si>
    <t>ión de presidente, hán sido causa de los testimonios públicos de amor á la patria y á la persona de Mr. Tomas Jefferson, que han dado en varios estados de la confederación, principalmente en los de Kentucky y de Maryland, cuyas asambleas legislativas han tomado las resoluciones mas propias para man</t>
  </si>
  <si>
    <t>JefFersou</t>
  </si>
  <si>
    <t>ocasión para substraerse de esta violencia y escapar , se habian aprovechado de ella. El presidente Mr. JefFersou ha expedido uea circular para convocar el congreso de los Estados, la qual está concebida en estos términos: ,, En atención á que algunos objetos de gravedad é importancia exigen</t>
  </si>
  <si>
    <t>JEiroa, Ramón</t>
  </si>
  <si>
    <t>Ramón JEiroa</t>
  </si>
  <si>
    <t>D. Ramón Zuazo y el referido Soto y Parga: eri geometría práctica D. Josef Carrero, D. Manuel Royo, D. Ramón JEiroa, y los citados Ordavideluz , Cedrón , Valentín Diez, Blanco Andrade y Perfume; habiendo asimismo explicado1, el uso de los instrumentos náuticos los referidos Carrero ,¡Royo y Ord</t>
  </si>
  <si>
    <t>Jenner</t>
  </si>
  <si>
    <t>ados dudosos, y que aun quatldo produxese un efecto mas cierto y seguro, no se debía recompensar al Dr. Jenner como á inventor de este método, porque ya desde el año de 1777 se usa^a de di en toda la provincia de Dorsefshire. Mr, Williams Smith le contestó alegando á favor de este descubri</t>
  </si>
  <si>
    <t>Jersey, Lord</t>
  </si>
  <si>
    <t>Lord Jersey</t>
  </si>
  <si>
    <t>s talentos, espíritu y energía para dar un fin glorioso á la guerra.” Lord Sommers apoyó el voto de Lord Jersey. Lord Hawkesbury hizo vatios rerparos contra los Ministros, y sobre la disolución del Parlamento, á que respondió Lord Grenvitle ; y finalmente, quedó aprobado sin corrección ning</t>
  </si>
  <si>
    <t>Jervis</t>
  </si>
  <si>
    <t>las formalidades requeridas , se procedió á la lectura de la ó almirantazgo, en que se encargaba á Mr. Jervis la continuación d&lt; so, y le agregaba en calidad de substituto á Mr. Bickuell , procui almirantazgo. Después fueron oidos los testigos, que son lord lord Whitworth, Mrs. Huskisson, Bo</t>
  </si>
  <si>
    <t>ejantes órdenes, las presentase como documentos capaces de apoyar la acusación intentada contra él. Mr. Jervis respondió que se exhibían estos documentos para probar que el almirantazgo estaba persuadido de que el honorable capitán permanecía. en el Cabo, esperando se le diesan órdenes de</t>
  </si>
  <si>
    <t>Jessen</t>
  </si>
  <si>
    <t>ta del burgomaestre Chiot, del consejero Larrge, de los profesores Mey y Rapport, y del comerciante Mr. Jessen, formar un plan, según el qual se reedificarán á cordel de los edificios ilesos los que han sido destrozados por el bombardeo. Nadie puede reparar casa alguna hasta que este concl</t>
  </si>
  <si>
    <t>Jesualdo Manuel Díaz</t>
  </si>
  <si>
    <t>neral de reales provisiones: D. Félix Tornero del Aguila , maestro de primeras letras de Cartagena: D. Jesualdo Manuel Diaz, maestro de primeras letras de Murcia: el teniente coronel de granaderos Provinciales D. Tomas de Llanes: D. Josef María Vallejo, catedrático de matemáticas del real seminario de</t>
  </si>
  <si>
    <t>Jesús de Castañeda y Gómez, Pedro</t>
  </si>
  <si>
    <t>Pedro Jesús de Castañeda y Gómez</t>
  </si>
  <si>
    <t>egimiento d&amp; capa y espada de la ciudad de Murcia, unido á I3 intendencia.de aquella provincia; y á D. Pedro Jesús de Castañeda y Gómez para la vara de alcalde mayor dé la villa de Puerto Real. Por real orden de 20 de febrero de este año, comunicada á la junta general de comercio y moneda, se ha servido S. M. conc</t>
  </si>
  <si>
    <t>Jetón</t>
  </si>
  <si>
    <t>larmente de los artilleros. Mr. C. Joman d su padre Clotzuyrthy Joman. Poonach 2j de marzo de 180&amp;. Mr. Jetón, que era juez en Bereilly , ha sido nombrado enviado en Delhy, donde reemplaza al coronel Echterlony, que ha sido separado de este empleo á causa de sus desavenencias con Shah Ale</t>
  </si>
  <si>
    <t>Joan Agustín Vallarínoy Pomar</t>
  </si>
  <si>
    <t>-Bujalance á D. Juan Bautista Alberola; para igual corregimiento de la villa de Molina de Aragón ú D. Joan Agustín Vallarínoy Pomar: para la vara de alcalde mayor de la ciudad del Puerto de. Santa María á D. Ignacio Gil de Sagredo: para la de la villa de Almansa á D. Manuel Josef de Vilches: para ia de ia vill</t>
  </si>
  <si>
    <t>Joan Antonio de Urive</t>
  </si>
  <si>
    <t>referida diócesi; y para una media ración, vacante en la metropolitana de Cuba por fallecimiento de D. Joan Antonio de Urive, á D. Juan Francisco Sánchez Díaz» cura del sagrario de ella.</t>
  </si>
  <si>
    <t>Joan González Alfonso Díaz</t>
  </si>
  <si>
    <t>645 de la de Astorga» á D. Joan González Alfonso Díaz, director espiritual dei real seminario de nobles de Madrid; y para la ración de la catedral de Málaga, vacante por ascenso de D. Feliciano Molina i canongía de la misma, á D. Jos</t>
  </si>
  <si>
    <t>Joan, Jorge</t>
  </si>
  <si>
    <t>Jorge Joan</t>
  </si>
  <si>
    <t>os 3 recibiéron en :premio igual número de medallas de plata, y de exemplares dé eximen marítimo de D. Jorge Joan. Asimismo, leyó el Seeretario el acta en que -se adjudicaron dos de los premios ofrecidps en las gazetas de los 3 años anteriores á dos . memorias .presentadas, la una .por D.. Ma</t>
  </si>
  <si>
    <t>Joaquín Juan</t>
  </si>
  <si>
    <t>as de la academia durante el trienio que ha seguido á su última junta pública, el quai formó y leyó D. Joaquín Juan dé plores, académico de número y secretario perpetuo del cuerpo. Después leyó D. Diego Clemencia, individuo numerario del mismo, el elogio de la Reyna Católica Doña Isabel de Castill</t>
  </si>
  <si>
    <t>Joaquina Florín y Vaidazo, María</t>
  </si>
  <si>
    <t>María Joaquina Florín y Vaidazo</t>
  </si>
  <si>
    <t>los reales decretos de S. M., y á instancia do D. Bernardo de Velasco, marido y conjunta persona de Doña María Joaquina Florín y Vaidazo, poseedora del vínculo que en ella fundó Pedro Sánchez Chamorro, y agregación de Ana Martínez, se han mandado sacar á pública subasta 5 pedazos de tierra en su término y jurisdicc</t>
  </si>
  <si>
    <t>Joaquina Leganes</t>
  </si>
  <si>
    <t>tronato que en la villa de Vaidemoro fundaron Antonio y Alexo Correas, vacante por fallecimiento de Doña Joaquina Leganes, su última poseedora, para que en el término de 30 días, contados desde el 24 del presente, comparezcan en su juzgado, por la escribanía de provincia de D. Miguel Josef García de</t>
  </si>
  <si>
    <t>Johanneau</t>
  </si>
  <si>
    <t>rado un esquadron del regimiento del Infante , y un batallón-del.de Gua&lt;fola?cara. .. v* H r n..O . Mr. Johanneau, secretario, perpetuo de la academia céltica, ha emprendido un viage literario ávarios departamentos, con el objeto de recoger los monumentos, tradiciones y noticias de todas clas</t>
  </si>
  <si>
    <t>John Duckworth</t>
  </si>
  <si>
    <t>capitanes de buques mercantes, y tomasen sus disposiciones los comandantes de nuestros apostaderos. Sir John Duckworth está nombrado segundo comandante de nuestra esquadra del canal. La corbeta Uasard% que ha llegado á Malta de Egipto, traía pliegos del general Fraser para el gobernador de aquella i</t>
  </si>
  <si>
    <t>ue se agregarán á 5 navios de línea que hay en Yarmouth; y en breves dias saldrá, á las (órdenes de Sir John Duckworth, una esquadra que pueda dar la ley en el Báltico. Respecto de la expedición, lejos de pensar en que vuelvan las dos primeras divisiones que han salido, se han dado las órdenes mas</t>
  </si>
  <si>
    <t>John Newport</t>
  </si>
  <si>
    <t>e Petty con mucha elocuencia. Duró la sesión hasta las 2 de la madrugada. El dia 20, á propuesta de Sir John Newport, se concedió una suma de 5® libras esterlinas, á mas de las 8© que recibe anualmente el colegio católico de Meynood en Irlanda, para la construcción de ciertos edificios necesario</t>
  </si>
  <si>
    <t>John Stuart</t>
  </si>
  <si>
    <t>ico, á las órdenes del lord Cathcart;,se compondrá de 40$ hombres, y que su segundo comandante será Sir John Stuart. Es verosímil que los 4 navios y la fragata , que han pasado de las Dunas á Yarmouth, serán parte de la escolta de dicha expedición, cuya salida se consi Jera muy próxima. Un buqu</t>
  </si>
  <si>
    <t>John Whitelocke</t>
  </si>
  <si>
    <t>uarde á V. E. muchos años. Bnenos-Ayres 4 de juiio de 1807. = Santiago Liniers.= Excelentísmo señor D. John Whitelocke. = Es copia. = Manuel Gallego. Num. 6.° Excelentísimo señor: Los mUmos sentimientos de humanidad que animaron á V- E., sin conocer mis fuerzas, á proponer el capitular</t>
  </si>
  <si>
    <t>V. E. su mas obediente servidor.s Santiago Linters.zz Buenos- Ay res 5 de julio de i8o7.=Excmo. Sr. D. John Whitelocke.__ P. D. Después de escrita la presente ha caído prisionero el general Crowford con toda su división y muchos oficiales de varios regimientos. = Es cop‘12. —Alanuel Gallego. Núm.</t>
  </si>
  <si>
    <t>Johnson, Capitán</t>
  </si>
  <si>
    <t>Capitán Johnson</t>
  </si>
  <si>
    <t>, en una de las pequeñas goletas de su esquadra. Dice también que el Leandro ha sido apresado, y su Capitán Johnson y casi todos sus Oficiales degollados.” Untíí Frañe'és^s qtí« han desembarcado en Norfolk de un buque Americano ,:.Si ios había' pasado en alta mar la fragata Inglesa Cambrian, han</t>
  </si>
  <si>
    <t>Johnstone</t>
  </si>
  <si>
    <t>sión del íó hubo en la Cámara de los Comunes una: viva discusión acerba de los gastos del exército. Mr. Johnstone propuso qqé la Cáimara mandase imprimir el estado de los gastos qtie se creían necesarios paira el año de 1807, apoyándose en que ya ha habido exemplares de hacerse así* y en que</t>
  </si>
  <si>
    <t>Jorba, Manuel</t>
  </si>
  <si>
    <t>Manuel Jorba</t>
  </si>
  <si>
    <t>roquia de la villa de Picra, diócesi de Barcelona» vacante por fallecimiento de D. Valentín Fons, á D. Manuel Jorba. Por fallecimiento del Sr. D. Josef Ai varea de Faria se ha servido el Rey nombrar decano del consejo supremo de Guerra al teniente general el señor marques de las Amarillas, elec</t>
  </si>
  <si>
    <t>Joref de Miranda</t>
  </si>
  <si>
    <t>es, de, navio D.) Manuel de la Iglesia, D. Benito ¡Correa, Di Bruna Es candon,D. Francisco Pare ja, D. Joref de Miranda, D. Domingo Allende y D. Joaquín Toledo t d alféreces de navio á los de fragata D. Juan Fernandez Vedra, D. Jacinto Butler y D. Federico Lacosse : d alférez de fragata di aventure</t>
  </si>
  <si>
    <t>Joref Ferrer</t>
  </si>
  <si>
    <t>a muy sensible á quantos la conocían. En la gazeta de 12 de junio, núm. &lt;¡o, pág. 595, donde dice á D. Joref Ferrer para un beneficio de la parroquial de Xavea, diócesis de Valencia, por muerte de D. Valero Gargalio, debe decir á D. Josef Herrero. NUÉVOS DESCUBRIMIENTOS DE BOTANICA. Los botánic</t>
  </si>
  <si>
    <t>Jorge Juan</t>
  </si>
  <si>
    <t>hable. Muchos de nuestros autores dan al grado 17I leguas sin saberse de qué leguas hablan. Nuestro D. Jorge Juan compara el valor del grado terrestre, hallado en su tiempo, con el valor que se deduce de dar al grado 17Í leguas de 15000 pies cada una; y concluye que el grado terrestre tiene m</t>
  </si>
  <si>
    <t>es del expresado cuerpo. El mérito de esta obra es bien conocido, y la censura que mereció al sabio D, Jorge Juan su mejor apología: la brevedad, método y precisión con que el autor supo reunir los suficientes principios para que sirvan de guia A los que desean adquirir mayores conocimientos</t>
  </si>
  <si>
    <t>landa al autor que le remitiese una.obra, en que se hallase perfeccionada la teoría de Rome ó la de D. Jorge Juan, ó que estableciese una nueva, mejor que las de estos dos sabios. La academia ha recibido tres memorias sobre el asunto; pero ninguna ha satisfecho sus miras y las del almirantazg</t>
  </si>
  <si>
    <t>Jos, Gabriel</t>
  </si>
  <si>
    <t>Gabriel Jos</t>
  </si>
  <si>
    <t>ciada en 76,545 rs. Quien quisiere hacer postura acuda á la escribanía de la comisión, del cargo de D. Gabriel Jos^f Martínez. == Por el referido subdelegado se ha señalado ei 29 del .corriente pára los remates de la sexta y dozava párte de la dehesa del Corabaxito, en el propio término, tasad</t>
  </si>
  <si>
    <t>Josaf Astraudi</t>
  </si>
  <si>
    <t>ompañía al ayudante, graduado de capitán, D. Josef de Campos; y empleo de portaestandarte al cadete D. Josaf Astraudi. También se ha servido el rey conferir compañías en los regimientos de dragones de Lusitania y Húsares Españoles á los ayudantes D. Jos*f Lachambre y D. Rafael Santisteban, este ú</t>
  </si>
  <si>
    <t>Josc-f María de Arce</t>
  </si>
  <si>
    <t>Boville: también ha conferido Compañía en el Regimiento de infantería de Soria á su Caballero Page D. Josc-f María de Arce. En América. En el Regimiento de Milicias disciplinadas de caballería del Cuzco se ha dignado el Rey promover á Teniente Coronel al graduado de caballería D. Juan Joséf d^ Gastaña</t>
  </si>
  <si>
    <t>Joscf</t>
  </si>
  <si>
    <t>ra la primera al mariscal de campo D. Antonio Olaguer Feliúr y para la segunda al mariscal de campo D. Joscf.Joaquín Marti. Igualmente ha nombrado S. M. por inspector general de la caballería de línea, a! mariscal de campo D. Be Dito San Juan ; y por inspector gener ral de la caballería</t>
  </si>
  <si>
    <t>Joscf Arnauda</t>
  </si>
  <si>
    <t>D. Joaquín dei Hoyo ; y en el de Ñapóles compañía al Teniente de granaderos, graduado de Capitán , D. Joscf Arnauda. En América. En el regimiento de infantería de la Luisiana se ha servido el Rey promover á Capitanes de granaderos á los de fusileros D. Carlos de Vilmont , graduado de Teniente C</t>
  </si>
  <si>
    <t>Joscf López de Santa Marina</t>
  </si>
  <si>
    <t>personas que pretendan tener derecho á los bienes que han quedado por fallecimiento abintestato de D. Joscf López de Santa Marina , vecino que fue de esta ccrte, de estado soltero, natural del lugar de Meredo, concejo de Castropol, obispado de Oviedo, para que al término preciso y perentorio de 15 dias acuda</t>
  </si>
  <si>
    <t>Joscf Praís</t>
  </si>
  <si>
    <t>do, de la parroquia de nuestra señora del rPíno de la ciudad de Barcelona, vacante por promoción de D. Joscf Praís á la canongía magistral de Tarragona. V S. M. se ha servido conferir en el regimiento de infantería de la Reyna la tenencia coronela al comandante del tercer batallón del mismo cu</t>
  </si>
  <si>
    <t>Jóscf Xavier de Lardizaval</t>
  </si>
  <si>
    <t>e en las librerías de Castillo y de Barco. El espíritu del sistema moderno de guerra, compuesto por D. Jóscf Xavier de Lardizaval, segundo ayudante mayor de reales Guardias Españolas. Por la reunión que se hace en él de las principales y mejores reglas del arte , esparcidas en una infinidad de autores y volu</t>
  </si>
  <si>
    <t>Josef</t>
  </si>
  <si>
    <t>vativo de dicha villa. Quien quisiere comprarla y enterarse por menor, podrá hacerlo: en Madrid con D. Josef de .Garay, calle de Francos, núm. jáf quarto. 4.®} en la villa de Montemolin con -D. Benito Josef de Garfy, y en la de Zafra eon p. Juan Manuel de Garay. Trescientos vecinos en la vi</t>
  </si>
  <si>
    <t>uenos-Ay res, y particularmente por el primer Piloto de la Armada, graduado de Alférez de Fragata,. D. Josef.de ja,Peña, que había regresado de la comisión que le encargó el Comandante de dicha Colonia de conducir á la capital unos prisioneros para cangear otros nuestro*. Enterado así po</t>
  </si>
  <si>
    <t>an de Vargas, D. Tomas Blanco Cabrera yD.Angel de Mlcbelena: id tenientes de navio á los de fragata D. Josef dejCórdoba y Rúxás ? Di Cándido. de la Sala, D. ¡Josef de Posada, D. Josef Qtiirogá y; De Jacinto Ro«•xnarate: d tementes, de fragata 1 los alféreces, de, navio D.) Manuel de la Igle</t>
  </si>
  <si>
    <t>ncia de Cataluña: para la plaza de oidor de la chancíllería de Valladolid, vacante por promoción de D. Josef.de Villa y Torre á la regencia de 1» real audiencia de Aragón, 3 D-Juan-Romualdo Ximenez, corregidor de Zamora, y alcalde del crimen honoxarioide la* misma chancíllería: para una</t>
  </si>
  <si>
    <t>de Sta. María del Búrgo de la ciudad de Alfaro, en la dióced de Tarazona, vacante por promoción de D. Josef de lasHerás á canongía de la colegial de dicha ciudad, á D. Sebastian Mancebo, presbítero. El Rey se ha servido conferir compañía en el regimiento de infantería de León al ayudante del p</t>
  </si>
  <si>
    <t>la diócesi de Barcelona, yen virtud de auto provisto por el subdelegado del djstrito de Villafranca D. Josef .Guixer y Sala,, se saca á pública subasta por. término de go dias , que concluirán el % de agosto próximo, en que se. rematará, la heredad , ó manso Vergadanas, sita eif el térmi</t>
  </si>
  <si>
    <t>la Ilavana á D. Domingo Verna, D. f rancisco Xavier Yerna y D. Josef Cabrera: en el de Goatemala á D. Josef</t>
  </si>
  <si>
    <t>Josef Adame, Pedro</t>
  </si>
  <si>
    <t>Pedro Josef Adame</t>
  </si>
  <si>
    <t>e D. Juan Antonio Díaz Noriega. No habiendo comparecido los acreedores á ios bienes concursados por D. Pedro Josef Adame, vecino que fue de esta corte, se ha solicitado por el defensor judicial del concurso, y mandado el Sr. D. Francisco López Lisperguer, del consejo de S. M., su alcalde de casa y c</t>
  </si>
  <si>
    <t>Josef Aguirre, Manuel</t>
  </si>
  <si>
    <t>Manuel Josef Aguirre</t>
  </si>
  <si>
    <t>ni emplazamiento, lo que Jes parará entero perjuicio; previniendo que los acreedores ausentes eran D Manuel Josef Aguirre, vecino de Laredo, D. Lorenzo Ilisarri, de Toledo, y de Colmenar D. Juan Francisco Velez, D. Francisco Galan, Francisco González, y otros diferentes vecinos, á quienes con esta mi</t>
  </si>
  <si>
    <t>Josef Agustín Castaño</t>
  </si>
  <si>
    <t>de marzo próximo pasado falleció en esta corte, á los 80 años,, 6 meses y medio de su edad, el Sr. D. Josef Agustín Castaño, ministro togado del supremo consejo de Indias, habiendo servido á satisfacción de S. M. por espacio de 40 años en los empleos de agente fiscal del supremo consejo de Castilla, go</t>
  </si>
  <si>
    <t>Josef Agustín de Lascurain</t>
  </si>
  <si>
    <t>ta. Cruz de Tenerife. En su registro consta una partida de 15 fanegas de cacao á la consignación de Don Josef Agustín de Lascurain, y otra de 8 fanegas á la de D. Josef Ramón; y no habiendo ocurrido á recogerlas, se hace saber para que dichos interesados por sí, ó por personas suficientemente autorizadas, acu</t>
  </si>
  <si>
    <t>Josef Agustín Manso</t>
  </si>
  <si>
    <t>a de Farnesio se ha servido el rey conceder empleo de portaestandarte al cadete graduado de alférez D. Josef Agustín Manso; y en el de Húsares Españoles empleo de sargento mayor al teniente coronel D. Andrés Orózco, capitán del mismo cuerpo. En el real cuerpo de ingenieros del exército ha promovido S.</t>
  </si>
  <si>
    <t>Josef Ai</t>
  </si>
  <si>
    <t>celona» vacante por fallecimiento de D. Valentín Fons, á D. Manuel Jorba. Por fallecimiento del Sr. D. Josef Ai varea de Faria se ha servido el Rey nombrar decano del consejo supremo de Guerra al teniente general el señor marques de las Amarillas, electo virey de Navarra; habiendo nombrado</t>
  </si>
  <si>
    <t>Josef Aldana</t>
  </si>
  <si>
    <t>y D. Josef Miranda; los alféreces de navio D. Federico Lados y D. Jacinto Butler, y los de fragata D. Josef Aldana y D. Martin Asas. Los ataques por los demás puntos de la ciudad fueron muy felices: á cada momento se tomaban prisioneras partidas crecidas de tropas y oficiales en las calles y en la</t>
  </si>
  <si>
    <t>Josef Aldayy, Miguel</t>
  </si>
  <si>
    <t>Miguel Josef Aldayy</t>
  </si>
  <si>
    <t>r muerte de D. Manuel Nicolás de Lezo, á D. Agustín Matías de Ledos: para la Ración que este dexa á D. Miguel Josef Aldayy para la media ración de este á D^ Josef María Zarco, cura en aquella diócesi; y para otra media ración de la misma catedral, vacante por fallecimiento de D. Francisco Cano de la P</t>
  </si>
  <si>
    <t>Josef Álvarez</t>
  </si>
  <si>
    <t>ómica de Amigos del pais el dia 4 di Noviembre del presente año. ' Mil reales á Josef Alvarez, vecino de Sarrapio en Aller, por haber plantado y tener prendidos con el grueso y circunstancias del edicto 661 castaños : 2® rs. a Gerónimo Coíalio, vecino de Tiraña , Concejo de Langre</t>
  </si>
  <si>
    <t>Josef Álvarez de Faria</t>
  </si>
  <si>
    <t>de noviembre próximo pasado falleció en esta corte, á los 6 y años cumplidos de edad, el Excmo- Sr. D. Josef Alvarez de Faria, Sánchez, Zarzosa &amp;c., gran cruz de la real y distinguida-orden de Garlos m, comendador de Bastimentos de Montiel, en la de Santiago, consejero de Estado, gentilhombre'de cámara d</t>
  </si>
  <si>
    <t>Josef Álvarez Gato</t>
  </si>
  <si>
    <t>gía de la de Valladoüd de Mechoacan, asimismo vacante por fallecimiento de D. Antonio Belauzaran, á D. Josef Alvarez Gato: para la ración que este dexa á D. Josef Jacinto de Llanos y Valdés: para la media que refulta vacante á D. Antonio Laureano Cortés y Ú lar te, cura en aquella diócesis. También s</t>
  </si>
  <si>
    <t>Josef Álvarez Lorenzana</t>
  </si>
  <si>
    <t>iva, acudirán hasta primeros de noviembre próximo á la junta gubernativa de dicha viHa por medio de D. Josef Alvarez Lorenzana, cura párroco de la misma. LIBROS. Dirección de correspondencia para las ciudades, villas, lugares, aldeas, alquería», monasterios, conventos, santuarios, cotos, cortijos, molinos</t>
  </si>
  <si>
    <t>Josef Amador, Martín</t>
  </si>
  <si>
    <t>Martín Josef Amador</t>
  </si>
  <si>
    <t>l corriente, se manda emplazar á qualquiera que se considere con derecho á los bienes-de la masa de D. Martin Josef Amador, para que en el perentorio término de un año acudan á formalizarlo con ios documentos que lo comprueben; bsxo la prevención que de no hacerlo en dicho término, se cancelarán las f</t>
  </si>
  <si>
    <t>Josef An</t>
  </si>
  <si>
    <t>co. Asimismo se presentaron los alumnos mas distinguidos de la clases dé'humanidades, que lo fuéron D. Josef An^ tonio Arespacochaga, D. Josef María Bermudez , Di Josef María; Tenorio*</t>
  </si>
  <si>
    <t>Josef Ángel Velazquez</t>
  </si>
  <si>
    <t>ox, D. Luis Antonio Merlano y D. Manuel de Medina.; á subtenientes de granaderos á los de fusileros D. Josef Angel Velazquez y D. Josef María Merlano; á subtenientes de fusilerosal cadete D. Francisco Grávete, y á los sargentos primeros D. Diego Salaices y D. Juan Rosado;y de bandera á los cadetes D. Manuel</t>
  </si>
  <si>
    <t>Josef Aniceto Tello</t>
  </si>
  <si>
    <t>tonio Vidaurreta: para la media-ración de la metropolitana de Sevilla, vacante por fallecimiento de D. Josef Aniceto Tello, á D. Francisco de Paula Espinosa: para la capellanía de Reyes Nuevos de la catedral de Toledo, vacante por muerte de D. Joaquín Morago, á D. Pedro Ruiz, cura párroco de la villa</t>
  </si>
  <si>
    <t>Josef Añon</t>
  </si>
  <si>
    <t>para un beneficio servidero de la villa de la Fiesnedc, diócesi de Zaragoza, vacante por muerte de D. Josef Añon. En América. El Rey se ha servido nombrar para el empleo de ayudante mayor de la brigada de artilleros veteranos del departamento de Puerto- Rico á D. Josef Miret: para los de cap</t>
  </si>
  <si>
    <t>Josef Antonio Caballero</t>
  </si>
  <si>
    <t>ponda su Cumplimiento-Señalado de la realmáno de S; M.[. = En Áranjuez á 29 de Enero de 11807. =: A D. Josef Antonio Caballero.” En la compañía Flamenca, del real cuerpo de Guardias de Corps há promovidp.el¿ Exentó dé nuinero al supernumerario D. Bartolomé Géofget i XWpéáiumerario al Brigadier D. Maximino</t>
  </si>
  <si>
    <t>Josef Antonio Canosa</t>
  </si>
  <si>
    <t>reales con endosos á favor de dicho Márquez, acudan ante el citado Sr. Juez,y por la escribanía de Don Josef Antonio Canosa, á legitimar su pertenencia j para que en su vista y bazo las oportunas precauciones se les manden entregar; y que se dé este aviso al público para que llegue á.su noticia.i Los s</t>
  </si>
  <si>
    <t>corregidor de esta villa. Quien quisiere hacer postura acuda ante dicho señor, por la escribanía de D. Josef Antonio Canosa. avisos. En 27 de Junio de 1806 se ausentó de la villa de la Puebla del Dean, en el arzobispado de Santiago, Josef Arnado, soltero, de edad de 32 años, hijo de Domingo, difunto, y</t>
  </si>
  <si>
    <t>úm. 13 , msnz. 418, en 2 1,748 rs Quien quisiere hacer postura, acuda á la escribanía del número de D. Josef Antonio Canosa. avisos. Por el juzgado de provincia de! Sr. D. Antonio Alcalá Galiano, alcalde de casa y corte, y escribanía de D. Caries Rodríguez de Meya, se hallan pendientes autos á pediment</t>
  </si>
  <si>
    <t>Josef Antonio Canosaq</t>
  </si>
  <si>
    <t>los bienes de él, para que dentro de 30 dias acuda» á deducirle en su juzgado por la escribanía de D. Josef Antonio Canosaq en la inteligencia de que pasados se acordarán las previdencias que correspondan , y les parará el perjuicio que haya lugar. En la villa de Ochandiano, señorío de Vizcaya, se halla</t>
  </si>
  <si>
    <t>Josef Antonio Dávalos</t>
  </si>
  <si>
    <t>de comandante del batallón de infantería provincial de Guadalaxara, en el reyno de Nueva-España, á D. Josef Antonio Dávalos, teniente coronel suelto de milicias en el propio reyno. En los cuerpos de milicias disciplinadas de Goatemala se ha servido S. M. nombrar teniente en el batallón de León ai subte</t>
  </si>
  <si>
    <t>Josef Antonio de Ezpeleta</t>
  </si>
  <si>
    <t>por fallecimiento de D. Sebastian Conde, á D. Joaquín Valentín de Urquizo, y para la radon de esteá Don Josef Antonio de Ezpeleta, teniente de cura de aqueUa catedral; finalmente ha nombrado S. M. para una ración de la metropolitana de Caracas, va* cante por promoción de D. Domingo Blandin,á D. Francisco Ant</t>
  </si>
  <si>
    <t>Josef Antonio de Te</t>
  </si>
  <si>
    <t>de Laredo al Capitán de granaderos del mismo cuerpo, graduado de Teniente Coronel &lt;Je, infantería, D. Josef Antonio de Te.ran j y Coronel del provincial de Mondoñedo al Capitán de fusileros del mismo, graduado de Teniente Coronel de infantería, D. AntonioArias^ Somoza y Rico. S. M. se ha servido conc</t>
  </si>
  <si>
    <t>Josef Antonio Fita</t>
  </si>
  <si>
    <t>opio cuerpo. El dia 26 de enero de este año murió en esta corte á Jostí$3 años de edad el limo. Sr. D. Josef Antonio Fita, ministro querfuá- delrtomejo y cámara de Castilla. En el año de 1769 fue nombrado fiscái ^de la real audiencia de Galicia, cuyo delicado ministerio y otras interesantes comisione</t>
  </si>
  <si>
    <t>Josef Antonio González</t>
  </si>
  <si>
    <t>tembre.de 1806 remitió al supremo consejo de Indias un despacho exhortatorio librado á pedimento de D. Josef Antonio González, como defensor de los bienes dei difunto intestado D. Francisco Aldao, que fue vista de la aduana de aquel puerto, á fin de que se cite y emplace á sus hermanos ó parientes mas in</t>
  </si>
  <si>
    <t>Josef Antonio Marsi</t>
  </si>
  <si>
    <t>de 1807 falleció en la ciudad de Valencia, á los 51 años, 7 mese* y 10 dias de edad, el Excmo. Sr. D. Josef Antonio Marsi11a de Teruel, Pinilta, Velazquez, Robles, Faxardo, Motezoma, Ximenez de Cisneros &amp;c. conde de Motezuma, de Tula y de Tultengo, vizconde de Ilucan, marques de Tenebron, señor de la</t>
  </si>
  <si>
    <t>Josef Antonio Martínez</t>
  </si>
  <si>
    <t>tín Riera y compañía, núms. 37^914, 366,964 y 366280. Quien supiere su paradero avisará en Madrid á D. Josef Antonio Martínez, en Barcelona á los expresados señores D. Valentín Riera y compañía, y en Valencia á D. Juan Dorda. Por providencia del Sr. D. León de Sagasta, teniente corregidor de esta villa,</t>
  </si>
  <si>
    <t>Josef Antonio Rius</t>
  </si>
  <si>
    <t>Cuenca, vacantes el primero por fallecimiento de Don Francisco Checa, y el segundo por promoción de D. Josef Antonio Rius ,y Villacampa á una capellanía de la real capilla de S. Fernando de Sevilla; y para los curatos rurales de Blasco Ñuño y Madrigalejo, en el obispado de Avila, vacantes por muerte</t>
  </si>
  <si>
    <t>Josef Antonio Rius y Villacampa</t>
  </si>
  <si>
    <t>, sita en la metropolitana de Sevilla , vacante por fallecimiento de D. Pedro Alvarez de Estrada, á D. Josef Antonio Rius y Villacampa, presbítero. El rey se ha servido conferir en el regimiento de infantería de Asturias compañía al ayudante, graduado de capitán, D. Salvador Maseres; ayudantía al teniente D. Feli</t>
  </si>
  <si>
    <t>Josef Antonio Solís</t>
  </si>
  <si>
    <t>s, y i los soldados distinguidos D. Josef López Merino y D. Martin O tolaza; y á portaestandartes á D. Josef Antonio Solís, D. Josef Clemente Merino y D. Juan Josef Gabirondo, también soldados distinguidos : y en rt dragones del valle de Mages á capitán al tenitnte\de granaderos D.-Agustín Arayco; y á</t>
  </si>
  <si>
    <t>Josef Antonio Tuñon y Llamas</t>
  </si>
  <si>
    <t>ración que este obtiene á D. Ignacio Mariano de Aguilar, cura de aquella diócesi: para la segunda á D. Josef Antonio Tuñon y Llamas: para la ración de este á Don Nicolás Merino; y para esta vacante á D. Alexo de la Cueva, cura de aquel obispado: para la tercera á D. Juan Delgado; y para la ración que este dexa</t>
  </si>
  <si>
    <t>Josef Apolinario Quixano</t>
  </si>
  <si>
    <t>an Pesquera, D. Andrés Obregon y D. Antonio Velásco y Pérez* Gatvez* y a portaestandartes al cadete D. Josef Apolinario Quixano y í&gt;. Pedro Ruiz de Otaño, vecino de la demarcación del regimiento. Asimismo se ha servido el Rey conferir el gobierno del castillo de San Carlos del Perote en Nueva-España , y* él'</t>
  </si>
  <si>
    <t>Josef Arana</t>
  </si>
  <si>
    <t>6o6 Chota al teniente de granaderos D. Tadeo dé Piedra; a-ayudante al tenlen-f te D. Josef Arana ; á tenientes á los alféreces D. Pedro-Francisco Álvarez, Lb francisco Costales y D. Francisco Losada; á alféreces á los sargentos primeros D. Maximiliano Martinez , D. Teodoro Gu</t>
  </si>
  <si>
    <t>Josef Ayala y Gómez</t>
  </si>
  <si>
    <t>,587 rs. Quien quisiere hacer postura, lo executará por la escribanía de la comisión, que desempeña D. Josef Ayala y Gómez. Por providencia de D. Francisco Toribio Ugarte, juez comisionado regio para la venta de bienes eclesiásticos en la diócesi de Valencia, se ha mandado sacar á pública subasta, por</t>
  </si>
  <si>
    <t>Josef Ayala y Gomrz</t>
  </si>
  <si>
    <t>iada en 119^441 rs. Quien qiisiere hacer postura, acuda por la escribanía de la comisión, que actúa D. Josef Ayala y Gomrz. Por el señor intendente de esta provincia, en decreto de 21 de abril próximo pasado, se ha señalado el término de 30 dias contados desde él para la mejora del quarto de'una casa</t>
  </si>
  <si>
    <t>Josef Ayalaiy Gromez</t>
  </si>
  <si>
    <t>n 213,200 rs. Quien quisiere hacer, postura lo executará en la escribanía de la comisión que exerce D. Josef Ayalaiy Gromez ; con ,prevención que precedida se asignará su; remate para el dia 1 % del corriente. ■ jf ; 1 ......... ; ; -4' ; iibros. r\ ■ £/ ' Hermán de Unna: novela historial'alemana, vert</t>
  </si>
  <si>
    <t>Josef Bagnena, Juan</t>
  </si>
  <si>
    <t>Juan Josef Bagnena</t>
  </si>
  <si>
    <t>de la preparación de las aguas artificiales : D. Domingo Martínez, farmacéutico, de la luologia ; y D. Juan Josef Bagnena, farmacéutico, de los metales.___Acreditaron después en sus respuestas el mayor conocimiento y exactitud, é hicieron con puntualidad y acierto en ei mismo laboratorio varias desco</t>
  </si>
  <si>
    <t>Josef Ballesteros y Navas</t>
  </si>
  <si>
    <t>encia de Lima? y para la alcaldía mayor de S. Antonio de Suchitepequesj en el reyno de Guatemala, á D. Josef Ballesteros y Navas, coronel de milicias de Gracias á Dios en el mismo reyno. Ei real consulado de Cádiz, encargado por S. M. de lá execucion del préstamo de 1.00 millones según la cédula de 29 de ju</t>
  </si>
  <si>
    <t>Josef Ballesteros, Pedro</t>
  </si>
  <si>
    <t>Pedro Josef Ballesteros</t>
  </si>
  <si>
    <t>honores de Intendente de exército al Contador mayor decano del tribunal de cuentas de Buenos-Ayres D. Pedro Josef Ballesteros, en atención á sus. dilatados y distinguidos servicios contraídos en España y América. El Rey , á consulta del Consejó, ha concedido facultad á la villa de Junquera de Ambiá: para</t>
  </si>
  <si>
    <t>Josef Baquedano</t>
  </si>
  <si>
    <t>ia, D. Manuel Entreambasaguas, D. Pedro Sánchez Pavón, D. Joaquín Gaidiano', D. Josef'María Jussué, D. Josef Baquedano, D. Ramón Posada, D. Josef Bretón , Don Eugenio de Zuloaga, D. Vicente Bassoco y D. Manuel de la Torre. Ganaron el premio extraordinario eje instrucción religiosa los caballeros g</t>
  </si>
  <si>
    <t>Josef Barreyro</t>
  </si>
  <si>
    <t>-226 Subtenientes de granaderos á los de fusileros D. Josef Barreyro y D. Milian Moreno, y á Subtenientes de bandera al Cadete IX Jo¿ef Barranco y al Sargento primero de granaderos D. Josef Pinera.. .* 1 En el regimiento de dragones provinciales de S.</t>
  </si>
  <si>
    <t>sargento mayor al capitán de granaderos D. Ignacio de Mora; á teniente ¿1 subteniente de granaderos D. Josef Barreyro; á subteniente de granaderos al de fusileros D. Marcos Quíntela, y á subteniente de bandera al cadete D. Juan de'Acósta. Asimismo en el regimiento de infantería de Puebla se ha se</t>
  </si>
  <si>
    <t>Josef Becquer, Juan</t>
  </si>
  <si>
    <t>Juan Josef Becquer</t>
  </si>
  <si>
    <t>ndase colocar el plano en la sala de su diputación. Después leyó otro discurso el maestro de dibuxo D. Juan Josef Becquer sobre la importancia de esta profesión, presentando los frutos de la aplicación de sus alumnos en varias cabezas y trozos de buen gusto, que habian copiado en el año y curso, ante</t>
  </si>
  <si>
    <t>Josef Benito Cistue</t>
  </si>
  <si>
    <t>D. Benito de la Mata Linares plazas de la cámara del propio tribuna!. Asimismo ha concedido S. M. á D. Josef Benito Cistue, juez privativo y'conservador del canal del reyno de Aragón, en atención á sus méritos Y servicios, honores de alcalde del crimen de Ja real audiencia de aquel reyno. JEn América.</t>
  </si>
  <si>
    <t>Josef Benito de Cistue</t>
  </si>
  <si>
    <t>ro Gregorio de Echeandia, catedrático de botánica, D. Benito Josef de Ribera, de economía política, D. Josef Benito de Cistue y D# Mariano Villa, catedráticos de matemáticas, con otros muchos socios, y un numeroso concurso de eclesiásticos y caballeros: los alumnos disertaron sobre los asuatos que les habia</t>
  </si>
  <si>
    <t>Josef Berdonces</t>
  </si>
  <si>
    <t>este cuerpo ha debido á su real piedad en las gracias que le ha dispensado; y el primer secretario D, Josef Berdonces, en el extracto de las actas del año, ios progresos de las cátedras y escuelas que protege la sociedad, y demas objetos en que Se ha ocupado; y como habían precedido los exámenes</t>
  </si>
  <si>
    <t>Josef Betbecé Llano y Marroco</t>
  </si>
  <si>
    <t>. Víctor Duro.Saenz y Solano, D. Fernando Ruiz Lorenzo y^Ruiz, D. Francisco Brias Aguilera y Ulloa, D. Josef Betbecé Llano y Marroco, D. Fulgencio de Toro Suarez y Figueroa, D. Andrés Costa y, Mut, D- Manuel Guillelmi Valeñzuela y Andrada, D. Juan Perez Dávila Cabredo y XiVnenez, D. Antonio Primó dé Ribera Oíti</t>
  </si>
  <si>
    <t>Josef Beuna</t>
  </si>
  <si>
    <t>del deanato de la propia catedral, que le confirió S. M. por decreto de 8 de febrero de este año: á D. Josef Beuna para una canongía de la colegiata de S. Feliu de la ciudad de Gerona, vacante por dimisión de D. Luis Rovira i’ á7 D. Jayméf Bonay y Corrioi parfi un beneficio de la catedral de G</t>
  </si>
  <si>
    <t>Josef Bey</t>
  </si>
  <si>
    <t>e al alférez marques del Apartado; á alférez al portaguión D. Josef Irala, y á portaguión al cadete D. Josef Bey tía. En el re cimiento de milicias urbanas de caballería de Truxillo, en el reyno del Perú, se ha servido el Rey promover á sargento mayor al capitán D. Nicolás Bracamente, marque</t>
  </si>
  <si>
    <t>Josef Bianson</t>
  </si>
  <si>
    <t>D. Martin Cebader, subteniente del real cuerpo de artillería: grados de subtenientes de ejército á D. Josef Bianson, cadete del regimiento de infantería de Buenos-Ayres; á D. Francisco Somalo, Idem; á D. Ambrosio Agustini, idem: grados de alféreces de caballería y dragones á D. Pedro Nolasco Ar</t>
  </si>
  <si>
    <t>Josef Bilbao la Vieja</t>
  </si>
  <si>
    <t>ante, graduado de Capitán, D. Nicolás Marín: Tenencia en el de Ñapóles al Subteniente de granaderos D. Josef Bilbao la Vieja; y Subtenencia de bandera en el regimiento de infantería de España al Cadete D. Miguel Riech y Colas. , En América. El Rey se ha servido nombrar para el Obispado del Pa</t>
  </si>
  <si>
    <t>Josef Blan</t>
  </si>
  <si>
    <t>y Durango: en geometría elemental D. Josef Ordavidcluz, D. Manuel Cedrón, D. Antonio Valentín Diez, D. Josef Blan*? co Atidrade, D, Juan Perfume, D. Ramón Zuazo y el referido Soto y Parga: eri geometría práctica D. Josef Carrero, D. Manuel Royo, D. Ramón JEiroa, y los citados Ordavideluz , Ce</t>
  </si>
  <si>
    <t>Josef Blanco</t>
  </si>
  <si>
    <t>á los Subtenientes de granaderos D. Manuel de los Rros y D. Pedro de la Sota, y á los de fusileros D. Josef Blanco , D. Josef Vargas y D. Antonio Adorno; á Subtenientes de granaderos á tos de fusileros D. Josef Martínez y D. Juan Cetina; á Subtenientes de compañía á los de bandera D. Josef Cal</t>
  </si>
  <si>
    <t>Josef Bolon</t>
  </si>
  <si>
    <t>alid. 18 9 ... 11 . Josef Bolon ........ ~ ..... de Joaquin .... Estiiella en Valencia .... 1796 .. Muert. 73 ... 21 • J tlan· Villaescusa ...... dI;! F railcis:o.. T obarra</t>
  </si>
  <si>
    <t>Josef Bonet</t>
  </si>
  <si>
    <t>a del de Camprodcn, todos de la congregación benedictina claustral tarraconense y cesaraugustana: á D. Josef Bonet para la doma de Vulpeollach, en la diócesi de Geronaj vacante por muerte de D. Antonio Sala: á D. Manuel Roure— ra para una ración de la catedral de Roda, diócesi de Lérida, vacan</t>
  </si>
  <si>
    <t>Josef Bouílle</t>
  </si>
  <si>
    <t>particular para campana: escrita en francés por el General Cesac Lacuée, y traducida al español por D. Josef Bouílle, Ayudante del Regimiento de Cantabria. Esta obra, la mas extensa de qúantas se han publicado hasta ahora en español, concernientes.al servicio de campaña, consta de g tomos en 8.°</t>
  </si>
  <si>
    <t>Josef Bretón</t>
  </si>
  <si>
    <t>ro Sánchez Pavón, D. Joaquín Gaidiano', D. Josef'María Jussué, D. Josef Baquedano, D. Ramón Posada, D. Josef Bretón , Don Eugenio de Zuloaga, D. Vicente Bassoco y D. Manuel de la Torre. Ganaron el premio extraordinario eje instrucción religiosa los caballeros gefe de sala D. Manuel Fernandez, e</t>
  </si>
  <si>
    <t>Josef Broceta</t>
  </si>
  <si>
    <t>Moxo. En el regimiento de caballería del Infante se ha servido S. M. conceder ayudantía al teniente D. Josef Broceta, y empleo de portaestandarte al cadete D. Juan Antonio Ximenez. También se ha dignado el Rey conceder empleo de portaguión en el regimiento de dragones del Rey al cadete D. Ramón</t>
  </si>
  <si>
    <t>Josef Brotoñs</t>
  </si>
  <si>
    <t>e de los niños premiados, y otra en nombre de las niñas María Josefa Climent. Terminó esta s fundón D. Josef Brotoñs leyendo una oda en elogio de la sociedad, extraída especialmente ah acto.,cíenla adjudicación de los premios. ; .v.&gt; i 'dHilbao 2 0 de febrero, de 1807. . , ■ • i.'y Deseando el c</t>
  </si>
  <si>
    <t>Josef Bueadia, Juan</t>
  </si>
  <si>
    <t>Juan Josef Bueadia</t>
  </si>
  <si>
    <t>a. El rey se lia dignado nombrar alférez de la compañía veterana de dragones de Metida de Yucatán á D. Juan Josef Bueadia, cadete de la misma. En la gazeta de 3 de febrero último se anunció al pubiico que D. Jacobo Gordon, vecino de Xerez de la Frontera,-había entregado una colección de instrumentos</t>
  </si>
  <si>
    <t>Josef Burone</t>
  </si>
  <si>
    <t>isco de Paula Gniz. S. M. se ha servido conferir compañía en el regimiento de dragones de Almansa á D. Josef Burone, cadete de la compañía Italiana de reales guardias de Corps. En atención á la avanzada edad, achaques, antigüedad y buenos ser.Vicios deD. Miguel de Villaba y Ay bar», regente de</t>
  </si>
  <si>
    <t>Josef Cabrera</t>
  </si>
  <si>
    <t>illeros veteranos en el departamento de la Ilavana á D. Domingo Verna, D. f rancisco Xavier Yerna y D. Josef Cabrera: en el de Goatemala á D. Josef</t>
  </si>
  <si>
    <t>Josef Cabrinety</t>
  </si>
  <si>
    <t>niente de banderaal ^argento primero D. Estéban Zimbora. En el de Betschart á subteniente al cadete D. Josef Cabrinety. En el de Reding, n. 2.0, á teniente de granaderos al de fusileros D. Cristóbal Stofiel: esta resulta á D. Cristóbal Krucker* En el de Reding, 0.3.°,á subteniente de granaderos al</t>
  </si>
  <si>
    <t>Josef Cacho</t>
  </si>
  <si>
    <t>el cargo de D. Josef Valle jo, en este curso se juzgó acreedores al primer premio á D. Josef Isla , D. Josef Cacho y D. Josef Alvarez; á D. Ramón Arce y D. Rafael Sousa al segundo , y i D. Mariano Ibañez al terceros En la de segundo año de matemáticas, dei cargo, en el presente curso, de D. Agustí</t>
  </si>
  <si>
    <t>Josef Calderón</t>
  </si>
  <si>
    <t>á tos de fusileros D. Josef Martínez y D. Juan Cetina; á Subtenientes de compañía á los de bandera D. Josef Calderón, Don Ramón Ponce, D. Cayetano Barana y D. JuánGalan, y á D. Josef Pereyra y D. Josef Carrion,vecinos de la demarcación del regimiento;y á Subtenientes de bandera á los Cadetes D.</t>
  </si>
  <si>
    <t>s en el año de 1798 dicho Excmo Sr. Marques del Campo, en el que nombró por su heredero al nominado D. Josef Calderón; con apercibimiento que pasado dicho término sin haber comparecido les parará el perjuicio que haya lugar. A voluntad de su dueño se vende en la villa de Sta. Olalla, camino de Ex</t>
  </si>
  <si>
    <t>Josef Calderón y Jaén</t>
  </si>
  <si>
    <t>e Paula Marañon, vecino de la villa de Alcázar de S. Juan, como marido de Doña Catalina Saavedra, y D. Josef Calderón y Jaén, que lo es de la de Dos-barrios, sobre la nulidad ó validación del papel rotulado mi testamento, en borrador y no concluido, que escribió y firmó en París en el año de 1798 dicho</t>
  </si>
  <si>
    <t>Josef Calderón, Esteban</t>
  </si>
  <si>
    <t>Esteban Josef Calderón</t>
  </si>
  <si>
    <t>ntonio Sanz, cura propio de esta vUlai ,; Ú*. Sebastian García Vi** llarejo, teniente corregidor, y D. Esteban Josef Calderón: Diez, tesorero y apoderado de dichos Excmos. Sres., se ha construido un cementerio# coa separaciones para eclesiásticos, párvulos y personas de distinción. Y obte?? nida la aprob</t>
  </si>
  <si>
    <t>Josef Camarón</t>
  </si>
  <si>
    <t>ado. Continuación de los trages de España dei Ticiano, dibuxados y grabados por el pintor de cámara D. Josef Camarón, teniente de director de la real academia de S, Fernando: quaderno 4.0 del tomo 2.0 Se hallará con los anteriores, iluminados y sin iluminar, en la calcografía de S. M. establecid</t>
  </si>
  <si>
    <t>Josef Camó y Heras</t>
  </si>
  <si>
    <t>cisco de Borja Sánchez, individuo de la sociedad económica de Murcia, y catedrático ae filosofía; á D. Josef Camó y Heras, maestro de primeras letras en Vich, y á D. Alfonso Paz Giraldo. VENTAS JUDICIALES. El señor intendente de esta provincia, en decreto de 16 de setiembre próximo pasado, ha señalad</t>
  </si>
  <si>
    <t>Josef Campero</t>
  </si>
  <si>
    <t>ueyros: en los de Sevilla y América subtenencias de bandera á los cadetes D. Ramón Arias y Quiroga, D. Josef Campero y D. Pedro Rute ; y subtenencia de bandera en el primer batallón de voluntarios de Barcelona ai cadete del mismo cuerpo D. Ramón Alavés. S. M. se ha servido nombrar sargento mayor del</t>
  </si>
  <si>
    <t>Josef Camps</t>
  </si>
  <si>
    <t>. En estas circuns¿ tancias, el 12 de abril el gobernador Alí-bei envió á pedir al cónsul de España D. Josef Camps un empréstito de 10© piastras del país. A la negativa del cónsul respondió con fieros y amenazas , y á las reflexiones que con este motivo se le hicieron contestó, que el baxá del</t>
  </si>
  <si>
    <t>Josef Cano Alonso</t>
  </si>
  <si>
    <t>a el dia *5 del corriente en las casas consistoriales de la plaza mayor de León. Por providencia de D. Josef Cano Alonso deBeceríajCofregidor y'subdélcgado juez real interino de la villa de Madrigal, provincia de Avila, se están subastando 161 obradas de tierra labrantía en 4° pedazos distintos, todos</t>
  </si>
  <si>
    <t>Josef Capilla</t>
  </si>
  <si>
    <t>de los átboles, cotí consideración á la edad de estes, y al movimiento precoz ó tardío de su savia: D. Josef Capilla sobre la utilidad de los bosques, modcs de establecerlos, fixando las especies de árboles para maderas de construcción que se dan mejor en los terrenos, según sus calidades y expo</t>
  </si>
  <si>
    <t>trióticos han promovido la cultura, riqueza y población de los países en que han sido establecidos: D. Josef Capilla sobre sí se enriquece una nación, prohibiendo la extracción de sus primeras materias, y la introducción de manufacturas extrangeras: D Josef Vitales sobre la protección igual é im</t>
  </si>
  <si>
    <t>Josef Carbo</t>
  </si>
  <si>
    <t>y promover á teniente coronel del regimiento de disciplinadas de infantería de Guayaquil al capitán D. Josef Carbo; y á tenientes á los subtenientes D. Francisco Camba y D. Josef Julián Campo; á capitán de granaderos en el de urbanas de infantería de Caxamarca al de fusileros Don Santiago Sant</t>
  </si>
  <si>
    <t>Josef Carrero</t>
  </si>
  <si>
    <t>n*? co Atidrade, D, Juan Perfume, D. Ramón Zuazo y el referido Soto y Parga: eri geometría práctica D. Josef Carrero, D. Manuel Royo, D. Ramón JEiroa, y los citados Ordavideluz , Cedrón , Valentín Diez, Blanco Andrade y Perfume; habiendo asimismo explicado1, el uso de los instrumentos náuticos l</t>
  </si>
  <si>
    <t>Josef Cayuela del Castillo</t>
  </si>
  <si>
    <t>eneficio simple de Cerezo, en la diócesi de Búrgos, vacante por muerte de D. Félix López Dávalos, á D. Josef Cayuela del Castillo : para otro residencial de la parroquial de la villa de Prats del Rey, diócesi de Vique, baxo la invocación de Sta. Margarita, á D. Josef Magret; y para otro de la misma parroquia</t>
  </si>
  <si>
    <t>Josef Cepero</t>
  </si>
  <si>
    <t>niente al subteniente de granaderos D. Eugenio Lucas, y á subteniente de granaderos al de fusileros D. Josef Cepero. El gobernador de Guayaquil ha dado cuenta al Serme. Sr. Príncipe de la Pa*z, Generalísimo. Almirante , que hallándose un bergantín ingles interceptando nuestra navegación sobre l</t>
  </si>
  <si>
    <t>Josef Cevallos</t>
  </si>
  <si>
    <t>el referido señor, por la escribanía de D. Juan Antonio de Urraza. AVISOS. En 16 del pasado remitió D. Josef Cevallos, por el correo de Santiago, á Don Tornas Diez Porrua, vecino de Camarinas, dos vales reales de r 50 pesos, 'creados de i.° de enero, núms. 331334 y 33290.8 , endosados á favor de</t>
  </si>
  <si>
    <t>Josef Chacón</t>
  </si>
  <si>
    <t>erino. En la clase de rudimentos de gramática castellana y latina, del cargo de D. Vicente Cosgaya, D. Josef Chacón el primero, D. Antonio Golfín el segundo. En la de sintaxis, propiedad y prosodia, del cargo de D. Antonio Salas, D. Francisco Melgarejo el primero, D. Josef Viedma el segundo. En l</t>
  </si>
  <si>
    <t>ndo, á D. Josef Salazar al tercero. En la de lengua francesa, del cargo de D. Dionisio Pelleport, á Don Josef Chacón al primero, á D. Francisco Melgarejo al segundo. En la del mismo idioma, del cargo de D. Josef Sabatier, á D. Agustín Alvarez al primero, á D. Narciso Caries al segundo. En la de</t>
  </si>
  <si>
    <t>Josef Chacón y Josef Salazar</t>
  </si>
  <si>
    <t>Isidoro Antiiion , han sido considerados dignos del primer premio D. Manuel Blanco, D. Diego Mesía, D. Josef Chacón y Don Josef Salazar. En la de primer año de filosofía, del cargo de D. Miguel de Celada en este curso, han merecido D. Josef Isla el primer premio, Don Mariana Ibañez el segundo- En la de segundo año</t>
  </si>
  <si>
    <t>Josef Chueca y Mezquita</t>
  </si>
  <si>
    <t>misa de la festividad de! santísimo Sacramento y su:octava, según el breviario y misal romano, por D. Josef Chueca y Mezquita. En esta octava sé celebra lo mas sublime que la Iglesia tiene en sus misterios,, pues en ella se anuncian como de. lleno las glorías del Señor, y se hace honroso recuerdo de las</t>
  </si>
  <si>
    <t>Josef Clavijo Faxardo</t>
  </si>
  <si>
    <t>de'noviembre próximo pasado falleció en esta corte, á la edad a'e So años, 7 meses y 9 dias, el Sr. D. Josef Clavijo Faxardo, director jubilado del real gabinete de historia natural, con honores del consejo de Hacienda, 'indmdjuo de las academias de historia natural de Berlín y de Copenhague, y de la so</t>
  </si>
  <si>
    <t>Josef Clemente Merino</t>
  </si>
  <si>
    <t>inguidos D. Josef López Merino y D. Martin O tolaza; y á portaestandartes á D. Josef Antonio Solís, D. Josef Clemente Merino y D. Juan Josef Gabirondo, también soldados distinguidos : y en rt dragones del valle de Mages á capitán al tenitnte\de granaderos D.-Agustín Arayco; y á portaguión á D. Patricio Torr</t>
  </si>
  <si>
    <t>Josef Coisa y Saro</t>
  </si>
  <si>
    <t>propuesto D. Pedro/Sinjó y López de;Haro , alcaide del crimen de:laxhancillería de V¿lláuuuiü ,:.y"Don Josef Coisa y Saro, electo alcalde de íá quádra de ja audiencia de Sevilla, yendo los dos de últimos ministros á sus respectivos tribunales. En consideración al antiguo y esclarecido origen de la Se</t>
  </si>
  <si>
    <t>Josef Colía y Saso</t>
  </si>
  <si>
    <t>cánones de la universidad-de Salamanca D. Josef Colía y Saso; y para la: ▼ara de alcalde mayor de la ciudad de Truxillo, vacante por haber cumplido su sexenio D. Manuel Perez de los Ríos, á D. Antonio Martin Rivas.” Para un empleo de capitá</t>
  </si>
  <si>
    <t>Josef Conzalez</t>
  </si>
  <si>
    <t>avier Govantes. El Rey se ha servido promover á brigadier de infantería de sus exércitos al coronel D. Josef Conzalez, comandante del batallón de voluntario* de Tarragona. En América. S. M. se ha servido nombrar coronel del batallón de malicias disciplinadas de Mérida de Yucatán al capitán de inf</t>
  </si>
  <si>
    <t>Josef Coquet y Gallardo</t>
  </si>
  <si>
    <t>omandan^ te de las seis compañías de caballería de Santa al Teniente Coronel graduar do de Milicias D. Josef Coquet y Gallardo; y á Subteniente en el esquadron de caballería de Moq^iegua al Cadete D. Francisco Cayetano Alayza. Habiéndose aprobado por el Real Consejo de las. Ordenes el remate celebrado eíí</t>
  </si>
  <si>
    <t>Josef Corral Faria, Juan</t>
  </si>
  <si>
    <t>Juan Josef Corral Faria</t>
  </si>
  <si>
    <t>a media ración de la misma catedral, vacante por fallecimiento de D. Francisco Cano de la Puerta, a D. Juan Josef Corral Faria, cura en el mismo obispado. También ha nombrado S. M. para la plaza de teniente letrado asesor</t>
  </si>
  <si>
    <t>Jósef Covos</t>
  </si>
  <si>
    <t>renta. Quien quisiere hacer postura á qualquiera de estas fincas, lo executará por la escribanía de D. Jósef Covos; en la inteligencia de que en el dia 25 del presente se ha de celebrar el remate Por providencia de D. Josef Garciny de Queralt, comisionado regio para la venta de bienes eclesiás</t>
  </si>
  <si>
    <t>Josef Cueto</t>
  </si>
  <si>
    <t>actía al Teniente, graduado de Capitán, D. Matías Lajustrcia: en el ae Santiago Tenencia al Alférez D. Josef Cueto; y en el de cazadores voluntarios ae España Tenencia Coronela al Teniente Coronel D. Josef Pineda , Sargento . mayor del de húsares españoles. JSm América. En el regimiento de inf</t>
  </si>
  <si>
    <t>Josef Dalmau, Vicente</t>
  </si>
  <si>
    <t>Vicente Josef Dalmau</t>
  </si>
  <si>
    <t>s canongías de la real iglesia de san Isidro de esta villa de Madrid, vacantes la una por muerte de D. Vicente Josef Dalmau, y la otra por ascenso de D. Domingo Julián Fariza á la dignidad de prior de la catedral de Sigíienza ; para la primera á D. Andrés García Gutiérrez Mellado, y para la segunda á D</t>
  </si>
  <si>
    <t>Josef Dávila</t>
  </si>
  <si>
    <t>Cáceres , D. Manuel Claudio Villauri, D. Mariano Gabriel Paredes, Don Juan Antonio Velarde y Neyra, D. Josef Dávila y D. Rafael Olazabal, y á subtenientes de bandera á los cadetes D. Francisco 'Olazabal y D. Josef María Martinez Orihuela. En el de caballería también disciplinada de Arequipa á porta</t>
  </si>
  <si>
    <t>Josef de Aguirre</t>
  </si>
  <si>
    <t>itán del regimiento de infantería del Príncipe , y la tenencia de Rey de la plaza de S. Sebastian á Don Josef de Aguirre, coronel agregado al estado mayor de la plaza de Cartagena. Mn América. En los regimientos de milicias del reyno del Pena se ha dignado el Rey promover en el de disciplinadas de i</t>
  </si>
  <si>
    <t>Josef de Almagro</t>
  </si>
  <si>
    <t>- .......... t a ; ' ; . VENTAS JUDICIALES. r Por providencia de D. Josef de Almagro, corregidor de la villa de Madrigal, y juez real subdelegado para la venta y enageracion de bienes eclesiásticos, se han mandado sacar á pública subasta 202 obradas y 65 estadales</t>
  </si>
  <si>
    <t>Josef de Arteaga</t>
  </si>
  <si>
    <t>Moreno y Acedo, á D. Pedro Muñoz y Arroyo. S. M. ha conferido ai teniente general de sus exércitos D. Josef de Arteaga, ministró del consejo supremo dé 1* Guerra, la comandancia general del señorío de Vizcaya, y el gobierno militar y político de la villa de Bilbao, por salida de D. Benito S. Juan;</t>
  </si>
  <si>
    <t>an Carlos; y ha conferido también la comandancia general del señorío de Vizcaya al teniente general D. Josef de Arteaga. £1 Rey se ha servido conferir el regimiento de caballería del Príncipe al coronel D. Alonso Teran Quevedo, teniente coronel del de Mon¿ tesa; y en el de Calatrava empleo de alfér</t>
  </si>
  <si>
    <t>Josef de Campos</t>
  </si>
  <si>
    <t>al portaestandarte D. Olaguer Desvalls: en el de Montesa compañía al ayudante, graduado de capitán, D. Josef de Campos; y empleo de portaestandarte al cadete D. Josaf Astraudi. También se ha servido el rey conferir compañías en los regimientos de dragones de Lusitania y Húsares Españoles á los ayu</t>
  </si>
  <si>
    <t>Josef de Castro Palomino</t>
  </si>
  <si>
    <t>ios de fusileros D. Manuel Gcmez y D. Juan Serrano; á Tenientes á los Sufc¿tenientes de granaderos D. Josef de Castro Palomino y D. Pió Ruiz; á</t>
  </si>
  <si>
    <t>Josef de Céspedes</t>
  </si>
  <si>
    <t>compañía en el regimiento de infantería de voluntarios de Estado al ayudante, graduado de capitán, D. Josef de Céspedes. . En atención i los buenos servicios de D. Manuel López Barajas , caballero de la distinguida orden de Cirios m , y diputado de los reynos, y á los de sú hijo D. Josef López Bara</t>
  </si>
  <si>
    <t>Josef de Córdoba</t>
  </si>
  <si>
    <t>de se me incorporaron con el mismo Concha; á la cabeza su Oficial de órdenes el Teniente de Fragata D. Josef de Córdoba, el de Navio D. Juan Angel de Michiíeñay D. Joaquín Ruiz,él Teniente dé Fragata D. Cándido la Sala, y D. Josef Posadas, los Alféreces de Navio D. Benito Correa, D. Manuel de la Ig</t>
  </si>
  <si>
    <t>Josef de Covos</t>
  </si>
  <si>
    <t>852 rs. Quien quisiere ha&lt;per. postura, acuda ante dicho corregidor, por la escribanía del cargo de D. Josef de Covos, dentro del término de 30 dias contados desde el 28 de Abril último. AVISOS. KHI-Enjos auters de concurso de acreedores y juicio universal de espera promovido por Pablo Ostia, de</t>
  </si>
  <si>
    <t>as, apreciada en 111,320 rs. Quien quisiere hacer postura lo ejecutará por la escribanía que ejerce D. Josef de Covos. Por providencia de D. Ignacio Mariano de Mendoza, juez subdelegado en el partido de la ciudad de Loxa, diócesi de Granada, para la venta de bienes eclesiásticos, se ha señe lado</t>
  </si>
  <si>
    <t>Josef de Emparan, Miguel</t>
  </si>
  <si>
    <t>Miguel Josef de Emparan</t>
  </si>
  <si>
    <t>iento de dragones de México al teniente coronel, agregado al de dragones de España en aquel rey no, D. Miguel Josef de Emparan, graduado de coronel. En cumplimiento de lo resuelto por S. M., y comunicado de su real orden á la dirección general de la renta de la Lotería, se anuncia al público que si alguno</t>
  </si>
  <si>
    <t>Josef de Espinosa</t>
  </si>
  <si>
    <t>María de Salazar, intendente general; D. Juan Peres V¡Hamil , auditor general; el gefe de esquadra D. Josef de Espinosa, secretario; el capitán de navio D. Martín Fernandez Navarrete, contador; y el Sr. D. Manuel Sixto de Espinosa, del consejo de Estado, tesorero del Almirantazgo, y general de la m</t>
  </si>
  <si>
    <t>Josef de Foncerrada, Melchor</t>
  </si>
  <si>
    <t>Melchor Josef de Foncerrada</t>
  </si>
  <si>
    <t>de oidor de la audiencia de México, vacante por fallecimiento de D. Félix Diaz Quijada y Ovejero, á D. Melchor Josef de Foncerrada: para la de alcalde del crimen, que este dexa , á D. Juan Antonio de la Riva, oidor de la de Guadalaxara; y para esta resulta á D. Juan de Sousa Viana, abogado de la audiencia de</t>
  </si>
  <si>
    <t>Josef de Fuentes</t>
  </si>
  <si>
    <t>en el de Algarbe compañía al ayudante, graduado de capitán, D. Andrés Martin; ayudantía al teniente D. Josef de Fuentes; tenencia al alférez D. Miguel Rajart; empleo de alférez al portaestandarte D. Cristóbal Blasco; y esta resulta ai cadete D. Felipe Coll y Lianza: finalmente se ha dignado S. M. c</t>
  </si>
  <si>
    <t>Josef de Garfy, Benito</t>
  </si>
  <si>
    <t>Benito Josef de Garfy</t>
  </si>
  <si>
    <t>drid con D. Josef de .Garay, calle de Francos, núm. jáf quarto. 4.®} en la villa de Montemolin con -D. Benito Josef de Garfy, y en la de Zafra eon p. Juan Manuel de Garay. Trescientos vecinos en la villa de Peñaranda, provincia de Salamanca ,se obligan por¿escritura á mantener un Cirujano con 9 á io9 rs</t>
  </si>
  <si>
    <t>Josef de Gerica, Félix</t>
  </si>
  <si>
    <t>Félix Josef de Gerica</t>
  </si>
  <si>
    <t>Repaso judicial, por D. Félix Josef de Gerica, abogado del colegio de esta corte. Esta obra presenta las definiciones y divisiones de los juicios, manifiesta qual es hoy la calidad de los ordinarios, extraordinarios y sumario</t>
  </si>
  <si>
    <t>Josef de Isacó</t>
  </si>
  <si>
    <t>ras. Quien quisiere comprarlas, acuda á la citadá escribanía. AVISO . Quien supiere del paradero de D. Josef dé Isacó, del comercio de Cádiz, y en caso de haber este fallecido, de sus herederos, se servirá avisar al P. D. Josef González Ycbra, de la congregación del Salvador de esta corte. LIBROS</t>
  </si>
  <si>
    <t>Josef de Jesús Valero</t>
  </si>
  <si>
    <t>fusileros á D. Joaquín Prieto y D. Francisco Echeverría; á teniente en el batallón de 'Goatemala á D. Josef de Jesús Valero, los tres últimos vecinos de la jurisdicción de sus respectivos cuerpos; á teniente y subteniente en las dos compañías de gastadores de Verapaz á D. Rafael de León y D. Francisco</t>
  </si>
  <si>
    <t>Josef de la Cruz</t>
  </si>
  <si>
    <t>o D. Luis María de Cistue sotare qué clases de personas pueden reputarse producentes en una nación: D. Josef de la Cruz sobre las trabas que ocasionan á la industria las incorporaciones gremiales: Don Martin Martínez sobre los caracteres que debe tener toda contribución: Dr. D. Felipe Aner de las a</t>
  </si>
  <si>
    <t>Josef de la Herran</t>
  </si>
  <si>
    <t>e: núm. 2056 á favor de Doña María Catalina Mexía , 2057 di de D. Juan Francisco Perron, 2058 aí de D. Josef de la Herran, *059 al de Doña Mam Josefa Vázquez y Adorna, 2060 al de D. Francisco MartinezSisniega, 2061 al.de D. Cristóbal García, 2o6z al. de D. Francisco Martínez de Cisne**</t>
  </si>
  <si>
    <t>Josef de la Iglesia</t>
  </si>
  <si>
    <t>alcalde del crimen de la audiencia de Lima, vacante por fallecimiento de D. Juan Moreno Avendaño, á D. Josef de la Iglesia, oidor decano de la de Charcas; y para.esta resulta á D. Josef Félix de Campoblanco, abogado de dicha audiencia de Lima? y para la alcaldía mayor de S. Antonio de Suchitepequesj e</t>
  </si>
  <si>
    <t>Josef de la Rosa, Antonio</t>
  </si>
  <si>
    <t>Antonio Josef de la Rosa</t>
  </si>
  <si>
    <t>Esteban Arfian. S. M. se ha servido nombrar espitan de llaves de la plaza de Cartagena de Indias á D. Antonio Josef de la Rosa, sargento primero del regimiento fixo de infantería de la misma, y subteniente en las dos compañías sueltas de milicias disciplinadas de infantería de Loxa, en el reyno de Sta. Fe</t>
  </si>
  <si>
    <t>Josef de Lajust</t>
  </si>
  <si>
    <t>que terminarán en i.° de octubre próximo. Quien quisiere hacerla, acuda á la misma contaduría. Por D. Josef de Lajust, alcalde ordinario de la ciudad de Fuenterrabía , se citar llama y emplaza á todas las personas que presuman tener derecho á una casa coi» su huerta, sita en la calle de Sistun de</t>
  </si>
  <si>
    <t>Josef de Ligero</t>
  </si>
  <si>
    <t>1204 JEn Toro.............. D. Josef de Ligero. En Valencia......... Sres. D. Francisco Peyrolon y compañía. En Valladolid..... D. Francisco Durango. En Zamora...... . D. Rafael Suarez. En Zaragoza....... D. Tomas de la Madrid</t>
  </si>
  <si>
    <t>Josef de Lira y Nicolás</t>
  </si>
  <si>
    <t>postura á qual quiera de dichas fincas lo executará por la escribanía de la comisión, que desempeña D. Josef de Lira y Nicolás. Por providencia de D. Luis Pisana y Muñoz, comisionado regio para la venta</t>
  </si>
  <si>
    <t>Josef de Noricga, Juan</t>
  </si>
  <si>
    <t>Juan Josef de Noricga</t>
  </si>
  <si>
    <t>go Barredo, D. Henrique deGrand-pré y D. Alexo Lessacier; y á Subtenientes de bandera á los Cadetes D. Juan Josef de Noricga , Don Pedro de Vegas y D. Martin Palao, y al Sargento primero D. Josef Urgullo. Observaciones sobre la cosecha de aceyte que constantemente producen los olivos de la Alcudia de Ve</t>
  </si>
  <si>
    <t>Josef de Pardo y Cela</t>
  </si>
  <si>
    <t>niente de granaderos &gt; graduado también de capitán, Don Benito Panigo* tenencias á los subtenientes D. Josef de Pardo y Cela y D. Joaquín Signes, y al capitán de milicias del provincial de Valladolid D. Jacobo Blanco; y subtenencias de bandera al sargento primero de granaderos D. Benito Viiluela, y al cadet</t>
  </si>
  <si>
    <t>Josef de Pasos</t>
  </si>
  <si>
    <t>desde el convento de Sto. Domingo, y el del coronel D. Xavier Ello, el capitán de artillería urbana D. Josef de Pasos gravemente herido. Mi recomendable edecán D. Manuel de Arce, que hacia á mi lado sus primeras armas, y sé habia mostrado con ef mayor denuedo en el cómbate de Miserere, fue igualm</t>
  </si>
  <si>
    <t>Josef de Ribas</t>
  </si>
  <si>
    <t>érez al portaguión D. Fernando Sada: en el de Villaviciosa la tenencia coronela ai teniente coronel D. Josef de Ribas,, sargento roayrr del de Almansat esta re.ulta á D. Francisco Conway, capitán del citado Villaviciosa; y en el de Lusitania empleo de portaguión al cadete. D. Miguel García. Tambi</t>
  </si>
  <si>
    <t>Josef de Ribera, Benito</t>
  </si>
  <si>
    <t>Benito Josef de Ribera</t>
  </si>
  <si>
    <t>rios de las clases de agricultura y artes, D. Pedro Gregorio de Echeandia, catedrático de botánica, D. Benito Josef de Ribera, de economía política, D. Josef Benito de Cistue y D# Mariano Villa, catedráticos de matemáticas, con otros muchos socios, y un numeroso concurso de eclesiásticos y caballeros: lo</t>
  </si>
  <si>
    <t>Josef de Rivera</t>
  </si>
  <si>
    <t>a de Montesa al teniente coronel D* Josef Marton* sargento mayor de el del Infante ; esta resulta á D. Josef de Rivera* capitán del mismo cuerpo ; y en él de Alcántara compañía al ayudante del de Calatrava, graduado de capitán* D. Juan de Saavedra* También se ha servido el Rey conferir el regimien</t>
  </si>
  <si>
    <t>Josef de Santos</t>
  </si>
  <si>
    <t>tica en verso heroyco, por el P. Josef Francisco de Isla, de Ja extinguida Compañía, continuado por D. Josef de Santos, á que sigue el sumario de la historia de España, del mismo.—Cinco cartas morales consolatorias de un anciano á eu sobrina, y en ella á todas las señoras que se hallen afligidas p</t>
  </si>
  <si>
    <t>Josef de Soto</t>
  </si>
  <si>
    <t>uender, y los seis segundos á D. Juan de Aróstegui, D. Vicente de Ibarrola, D. Cayetano de Gironda, D. Josef de Soto, D. Josef del Valle y D. Francisco Mingo Fuentes, habiendo franqueado uno la señora marquesa de San Simón, otro el Sr. D. Josef María Puig, del consejo real, y dos el señor protec</t>
  </si>
  <si>
    <t>Josef de Torres</t>
  </si>
  <si>
    <t>o concurso, y principalmente á D. Josef Muñoz de Pando, D. Felipe_ Carrasquedo, D. Casimiro Osorio, D. Josef de Torres, D. Mauricio del Valle, D. Severino de Salazar, Doña Josefa Zurariain,D.Francisco del Valle, D. Francisco Fernandez de Villa, D. Estéban Beulf, D. Cayetano Franques, D. Pascual &lt;G</t>
  </si>
  <si>
    <t>Josef de Vargas</t>
  </si>
  <si>
    <t>la Reyna al cadete del fixo de Ceuta D. Ramón Pacheco: en el de Córdoba al cadete del mismo cuerpo D. Josef de Vargas : en el de Búrgos al sargento primero de granaderos D. Francisco de Cárdenas: en el de voluntarios de Estado al cadete del primer batallón de infantería ligera de voluntarios de A</t>
  </si>
  <si>
    <t>Josef de Vargas y Ponce</t>
  </si>
  <si>
    <t>e se confié á un marino, y plan y miras con que de órden superior la emprende el capitán de fragata D. Josef de Vargas y Ponce, director de la real academia de la Historia: discurso presentado al Serenísimo Señor Príncipe Generalísimo Almirante, é impreso de órden de S. A. Véndese á 8 rs. en el despacho d</t>
  </si>
  <si>
    <t>último el académico D. Martia Fernandez de Ñavarrete leyó un epítome de la disertación escrita por D. Josef de Vargas y Ponce, director actual del cuerpo, que presidió la junta, sobre el origen é introducción de las fiestas de toros en España, varios modos de lidiarlos , y baxo qué aspecto han mirado la</t>
  </si>
  <si>
    <t>primer conde de Buelna,sacada de autores coetáneos y documentos ¡réditos por el capitán de fragata D. Josef de Vargas y Ponce, director de la real academia de la Histeria. Se hallará en el despacho de obras de la imprenta rea!, y en las academias de guardias marinas de lo* tres departamentos de Cádiz , F</t>
  </si>
  <si>
    <t>Josef de Vargas, Pedro</t>
  </si>
  <si>
    <t>Pedro Josef de Vargas</t>
  </si>
  <si>
    <t>inguidos del mismo cuerpo; y.á subteniente veterano y comandante de la partida de asamblea de lea á D. Pedro Josef de Vargas, sargento primero del batallón de disciplinadas de españoles de Lima. En los cuerpos de milicias disciplinadas de Goatemala á cor ronel y teniente coronel del batallón de Chiquimu</t>
  </si>
  <si>
    <t>Josef de Vilches, Gonzalo</t>
  </si>
  <si>
    <t>Gonzalo Josef de Vilches</t>
  </si>
  <si>
    <t>Febrero de 1807* En atención á los méritos y servicios de los Sres. D. Arias Antonio Mon y Velarde, D. Gonzalo Josef de Vilches y D. Antonio Vilianueva y Pacheco y Ministros del Consejo real, ha venido el Rey en concederles plaza en la Cámara» También se ha dignado S. M. nombrar para el Corregimiento de capa y</t>
  </si>
  <si>
    <t>Josef de Vilches, Manuel</t>
  </si>
  <si>
    <t>Manuel Josef de Vilches</t>
  </si>
  <si>
    <t>la ciudad del Puerto de. Santa María á D. Ignacio Gil de Sagredo: para la de la villa de Almansa á D. Manuel Josef de Vilches: para ia de ia villa de Motilla del Palancar á D. Manuel Pe rez de los Ríos: para la de las nuevas poblaciones de Andalucía, su caital la Carlota, á D. Pedro Mana Sanchoyer to: pa</t>
  </si>
  <si>
    <t>Josef de Villa</t>
  </si>
  <si>
    <t>concederle su jubilación con las dos terceras partes de su sueldo ; y nombrado para esta regencia á D. Josef de Villa v Torre, gobernador de la sala del crimen de ía real chancillería de Valladoiid. ■. En América. En los cuerpos de milicias del reyno dei Perú se ha servido el Rey promover á tenie</t>
  </si>
  <si>
    <t>Josef de Yéregui</t>
  </si>
  <si>
    <t>Miranda, director de dicha asociación. — Otro que’&lt;en la de ' 30 de junio de it8oi pronunció el Sr. D. Josef de Yéregui, del consejo de S. M.^en el de ia.suprema y general inquisición, maestro de los Sermos. Sres. Infantes. Otro que en la de 30 de diciembre del mismo pronunció el Dr. D. Antonio dé</t>
  </si>
  <si>
    <t>Josef del Pozo y Sucre</t>
  </si>
  <si>
    <t>del exército se ha servido S. M. promover 2 mariscal de campo al brigadier y director subinspector D. Josef del Pozo y Sucre : á director subinspector al brigadier y coronel D. Francisco Vitlároel, y á coronel al teniente coronel D. Melchor de Gerona. El Rey se ha servido concedeT en el regimiento de in</t>
  </si>
  <si>
    <t>Josef del Rox</t>
  </si>
  <si>
    <t>el Martínez Malo, de granaderos, D. Henrique O-Neille , D. Juan de Bustos, D. Josef Víctor Salcedo, D. Josef del Rox, D. Luis Antonio Merlano y D. Manuel de Medina.; á subtenientes de granaderos á los de fusileros D. Josef Angel Velazquez y D. Josef María Merlano; á subtenientes de fusilerosal c</t>
  </si>
  <si>
    <t>Josef del Valle</t>
  </si>
  <si>
    <t>segundos á D. Juan de Aróstegui, D. Vicente de Ibarrola, D. Cayetano de Gironda, D. Josef de Soto, D. Josef del Valle y D. Francisco Mingo Fuentes, habiendo franqueado uno la señora marquesa de San Simón, otro el Sr. D. Josef María Puig, del consejo real, y dos el señor protector.Se dio principio y c</t>
  </si>
  <si>
    <t>Josef Delahanty</t>
  </si>
  <si>
    <t>iago Madan , y al primer ayudante D. Félix Uriundo: á primer teniente de granaderos ai de fusileros D. Josef Delahanty: á primer ayudante al primer teniente D. Buenaventura del Campo: á primeros tenientes de fusileros á Jos segundos D. Miguel Manzano y D. JuanPerdomo: á segundos tenientes á los su</t>
  </si>
  <si>
    <t>Josef Delgado</t>
  </si>
  <si>
    <t>dos vales reales de 300 pesos, de la creación de i.° de enero, núms. 91714 y 117154, endosados por D. Josef Delgado; y habiéndo* se extraviado, quien supiere de su paradero avisará en Madrid al expresado Martínez, baxada de Sta. Cruz, núm. 5, ú en Avila al citado Maza. Por providencia del tribu</t>
  </si>
  <si>
    <t>Josef Demblans</t>
  </si>
  <si>
    <t>r Joaquín Fernandez Fragua* y los dichos Royo, Mes, Becerra* Carrero y Eirea. En geometría práctica D. Josef Demblans y los citados Fragua, Ghaple, Pozo , Verástegui y Navarrete. En trigonometría plana y esférica D» Antonio Salazar, y los referidos Demblans, Chaple, Pozo y Fragua. En geografía y cosmog</t>
  </si>
  <si>
    <t>Josef Demetrio Moreno</t>
  </si>
  <si>
    <t>iaratíron. de la de Ptiéb!^ de loé Angeles, vacante asimismo por muerte de D. Manuel déiCástrllbV a D. Josef Demetrio Moreno ,cpra en este obispado. . A'’%rd^uest'a{'áerS.!Ítmo.. Sr. Príncipe Generalísimo Almjrante, en beneficio eje las familias, de. los‘individuos de la expedición española auxiliar de</t>
  </si>
  <si>
    <t>Josef Díaz</t>
  </si>
  <si>
    <t>servido conferir la tenencia coronela deí regimiento de caballería de la Reyna al teniente coronel D. Josef Diaz, sargento mayor del de Calatrava: tenencias en el citado de la Reyna é Infante á los alféreces D. Josef Saborido, D. Sebastian de Torres y D. Ramón López: en el de Farnesio empleo</t>
  </si>
  <si>
    <t>Josef Díaz Ortega</t>
  </si>
  <si>
    <t>gía lectoral, vacante en la catedral de Valladolid de Mechoacan por ascenso de D. Manuel Barcena, á D. Josef Diaz Ortega, cura propio de la villa de Salamanca , en aquel obispado. S. M, se ha servido conceder agregación de capitán en el regimiento de infantería ñxo de Puerto-Rico á D. Manuel de Pera</t>
  </si>
  <si>
    <t>Josef Domínguez</t>
  </si>
  <si>
    <t>colegiata de S. Ildefonso: para una media ración de la catedral de Salamanca, vacante por muerte de D. Josef Domínguez, i D. Miguel Martel, catedrático de filosofía moral de la universidad de aquella ciudad: para el préstamo de la parroquial del lugar de Castel Ruiz, jurisdicción de la villa de Ag</t>
  </si>
  <si>
    <t>Josef Duro y Solano</t>
  </si>
  <si>
    <t>Juan Antonio Monoyo, y para el Préstamo de Burbanos en el propio Obispado, vacante por dimisión de D. Josef Duro y Solano, electo Arcediano titular y Canónigo de la Catedral de Calahorra, á D. Domingo González Alonso, con retención del Beneficio simple de Ganamé de Sayago, que disfruta en la Diócesi</t>
  </si>
  <si>
    <t>Josef Elorga</t>
  </si>
  <si>
    <t>gimiento de milicias disciplinadas de caballería de Buenos-Ayres: grados de tenientes de exércitó á D. Josef Elorga, subteniente del regimiento de infantería de Beleños-Ayres; á D. Diego González Valcarce, alférez del cuerpo de caballería de blandengues de, la frontera de Buenos-Ayres; á D. Mar</t>
  </si>
  <si>
    <t>Josef Ensebio de Ortega</t>
  </si>
  <si>
    <t>D. Josef Mariano Ramírez, á D. Isidoro Sainz de Alfaro; y para la media - ración, que este dexa, á D. Josef Ensebio de Ortega, cura en aquel arzobispado. S. M. á consulta de su consejo se ha dignado conceder á la villa de Bornos facultad para celebrar feria todos los años en los dias 1, 2 y 3 del mes de</t>
  </si>
  <si>
    <t>Josef Erenas</t>
  </si>
  <si>
    <t>a servido conceder en el Regimiento de infantería de la Reyna Tenencia al Subteniente de granaderos D. Josef Erenas, y Subtenencias de bandera á los Cadetes D. Josef Nicolás Chacón y D. Pedro Benavides; y en el de Toledo Subtenencia de bandera al Cadete D. Eugenio Neyra. En el Regimiento de inf</t>
  </si>
  <si>
    <t>Josef Escalada</t>
  </si>
  <si>
    <t>real cuerpo á cadete en propiedad ai supernumerario D. Josef Gasqüé, y á supernumerario al guardia D. Josef Escalada. En el regimiento de infantería de Soria se ha servido S. M. promover á subteniente de bandera al sargento primero de granaderos D. Baltasar Alcántara ; y á teniente en el segundo</t>
  </si>
  <si>
    <t>Josef Escriba</t>
  </si>
  <si>
    <t>io imperial de S. Vicente, y á dos niñas del mismo colegio. Cedieron la parte pecuniaria del premio D. Josef Escriba, D. Andrés del Val, D. Joaquín Fusell, D. Manuel Croselles, D. Juan Ribera Colechá, Doña María Vecino, Doña Manuela Taraneo, Doña Rafaela Bordenove y Doña Franca Ximenez. Continuó</t>
  </si>
  <si>
    <t>Josef Espoz</t>
  </si>
  <si>
    <t>ido S. M. promover á capitán primero al segundo D. Ferrr.in Zueco; á capitanes segundos al teniente D. Josef Espoz y al segundo ayudante D. Vicente Ricafort; á segundo ayudante al teniente, graduado de capitán, D. Pedro Villacampa; á tenientes á los subtenientes D. Miguel Fraxno y Díaz y D. Juan</t>
  </si>
  <si>
    <t>Josef Eulalio Ziosi</t>
  </si>
  <si>
    <t>imiento de D, Josef Troytiño, á D. Gregorio de la Bastida; y para la de tesorero que este obtenía á D. Josef Eulalio Ziosi, cura de aquel obispado: para una canongía de la de Valladoüd de Mechoacan, asimismo vacante por fallecimiento de D. Antonio Belauzaran, á D. Josef Alvarez Gato: para la ración qu</t>
  </si>
  <si>
    <t>Josef Eustaquio Moreno</t>
  </si>
  <si>
    <t>y de sus ministros, y la estimación del público. VENTAS JUDICIALES. Por providencia del Excmo., Sr. D. Josef Eustaquio Moreno se saca á pública subasta, por 30 dias contados desde el dia 16 del corriente, el molino harinero llamado de Malvecino, que pertenece al maestrazgo de Calatrava, compuesto de 3 pi</t>
  </si>
  <si>
    <t>Josef Febrero</t>
  </si>
  <si>
    <t>Febrero adicionado ó librería de escribanos, é instrucción teóricojpráctica para principiantes: por D. Josef Febrero/escribano real y del colegio de esta corte: tomo i.° de la parte 2.a, que compreheride el juicio de inventario, y el de partición entre la viuda y herederos de su marido hasta rei</t>
  </si>
  <si>
    <t>ario de testamentos y contratos: feste es un compendio con muchas adiciones de la obra que escribió D. Josef Febrero, de cuya lectura1 carecen varios pot su crecido volúmen y coste, y con éste prontuario, en forma de diálogo,se facilita la instrucción necesaria no solamente á escríbanos principi</t>
  </si>
  <si>
    <t>quien informará de sus condiciones. LIBROS. Librería de escribanos, abogados y jueces, que compuso D. Josef Febrero, y</t>
  </si>
  <si>
    <t>anuncio. LIBROS. Febrero adicionado; ó librería de escribanos, é instrucción teórico-práctica, por D. Josef Febrero: tomo 2° de la parte 2.*, que trata del juicio de partición entre los herederos del difunto y abintestato después de reintegrada la viuda. Con este tomo se concluye el importante</t>
  </si>
  <si>
    <t>en carta. Febrero adicionado, ó librería de escríbanos, é instrucción teórico-práctica, que compuso D. Josef Febrero: tomo 3.0 de la parte 2.a, que trata del juicio ordinario y executivo. El tomo 4.0 y último se publicará cor la posible brevedad. Se vende, con los 5 tomos anteriores, en la libre</t>
  </si>
  <si>
    <t>Josef Félix de Campoblanco</t>
  </si>
  <si>
    <t>uan Moreno Avendaño, á D. Josef de la Iglesia, oidor decano de la de Charcas; y para.esta resulta á D. Josef Félix de Campoblanco, abogado de dicha audiencia de Lima? y para la alcaldía mayor de S. Antonio de Suchitepequesj en el reyno de Guatemala, á D. Josef Ballesteros y Navas, coronel de milicias de Grac</t>
  </si>
  <si>
    <t>Josef Fernández</t>
  </si>
  <si>
    <t>andez, D. Ántero Henriquez Calderón y D. Josef Martínez: los gefes de trozo D. Manuel de la Cámara, D. Josef Fernandez, D. Manuel Abad, D. Manuel Ferrando, D. Alexandro Lagoa, D. Sebastian Fernandez de Navarrete, D. Carlos Van-Zoelen, y los caballeros seminaristas D. Luis Berganzá, D. Bonifacio Ol</t>
  </si>
  <si>
    <t>uez Calderón, I&gt;. Alejandro Lagoa y D. Manuel de la Cámara: ios gefes de trozo D. Manuel Ferrando , D. Josef Fernandez, D. Carlos Van-Zoelen, D. Sebastian Fernandez de Navarrete y D. Luis Berganza; y los seminaristas D. Pedro Sánchez Pavón, D. Pablo Unda, D. Bonifacio Olivencia, D. Bernabé de Otal</t>
  </si>
  <si>
    <t>Josef Ferrando Salelles</t>
  </si>
  <si>
    <t>en premio de su zelo por el bien de los pobres presos: adjudicándose la primera de oro sin sorteo á D. Josef Ferrando Salelles, del lugar de Pego, por haber sido el que ha recogí lo mas limosna: la segunda de oro tocó por suerte á Francisco Lliso, del quartel de Benimaclct; y la tercera de oro á Josef Val</t>
  </si>
  <si>
    <t>Joséf Ferrer</t>
  </si>
  <si>
    <t>do 'de Ripolii nulUiti* dióecesis i én Cataluña, vafeante por fallecimiento de DnJosefiTarlágb; y á D. Joséf Ferrer para- un beneficio dé la parroquial de Jfcaveaydiócési de Vátenciá, vacante por muerte de ;D. Valero Gargallól El Rey: se ha servido conferir en el regimiento de infantería de Ast</t>
  </si>
  <si>
    <t>Josef Fiñon</t>
  </si>
  <si>
    <t>vido conferir en el regimiento de infantería de Hibernia compañía al teniente, graduado de capitán, D. Josef Fiñon, y en el del Príncipe tenencia al subteniente D. Guillermo Rodríguez. El Rey se ha servido promover á subteniente de bandera en el regimiento fixo de Ceuta al cadete D. Juan Diest</t>
  </si>
  <si>
    <t>Josef Fontana</t>
  </si>
  <si>
    <t>iudad de Cartagena ; D. Manuel Díaz, pensionado por la sociedad patriótica de Murcia; ei presbítero D. Josef Fontana, vice-director del real seminario de nobles de S. Pablo de la ciudad de Valencia , comisionado por dicho Seminario y por la sociedad económica de aquella ciudad, en compañía de D.</t>
  </si>
  <si>
    <t>Josef Francisco Delgado</t>
  </si>
  <si>
    <t>la demarcación del regimiento;y á Subtenientes de bandera á los Cadetes D. Miguel Diez de Bonilla, D. Josef Francisco Delgado y D. Carlos Abala y Varela, y á D. Miguel Guillen y Yenza, vecino de la misma demarcación. Por la Secretaría de Estado y dei Despacho de la Guerra se ha circulado la real orden siguie</t>
  </si>
  <si>
    <t>Josef Francisco Maestre</t>
  </si>
  <si>
    <t>e ha servido el Rey promover á capitán al teniente D. Sebastian de Roxas, á teniente al subteniente Don Josef Francisco Maestre, y á subteniente á D. Josef Manuel Quiros, vecino de la jurisdicción de dicho cuerpo. BANCO NACIONAL DE SAN CARLOS. La junta de gobierno del banco nacional de S. Cirios, en virtud</t>
  </si>
  <si>
    <t>Josef Francisco Maestre y Bedanos</t>
  </si>
  <si>
    <t>Rabadan, á D. Josef María Maestre y Díaz, y D. Josef Vicente Campuzaoo: á Subteniente de bandera á D. Josef Francisco Maestre y Bedanos; y á Portaguión á D. Pedro de Castro, los quatro último.' vecino* de la jurisdicción dei mismo cuerpo. No habiendo sido poible publicar ántes de ahora mas noticias acerca de la im</t>
  </si>
  <si>
    <t>Josef Frauco</t>
  </si>
  <si>
    <t>uiera de ellas acuda ante dicho señor, por la escribanía de D. Juan López Fando. Por providencia de D. Josef Frauco, subdelegado-para la venta de bienes eclesiásticos en la diócesi de Zaragoza, se ha mandado sacar á pública subasta una huerta cerrada, con su'casa¿ sita en la villa de Brea, de 3</t>
  </si>
  <si>
    <t>Josef Gabriel Batallas</t>
  </si>
  <si>
    <t>te por muerte de D. Lázaro Sevillano, á D. Juan Estanislao de Guzman: para la radon que este dexa á D. Josef Gabriel Batallas, y para la media-nracion que este obtiene á D. josef Isidro Camacho, cura rector de la misma iglesia. Asimismo se ha servido S. M. conferir la plaza de asesor del gobierno é inten</t>
  </si>
  <si>
    <t>Josef Gabriel de la Hoyuela</t>
  </si>
  <si>
    <t>en que quitó un carro de municiones , defendido por un cuerpo de 6co hombres; D. Manuel de Arroyo, D. Josef Gabriel de la Hoyuela, D. Pedro Nuñez, D. Lúeas Vivas, y D. Tomas Castillon su segundó, á la cabeza de verdaderos patricios, me han hecho los servicios mas distinguidos, como caballería ligera, rondand</t>
  </si>
  <si>
    <t>Josef Gairiga y Buach</t>
  </si>
  <si>
    <t>. Curso- &lt;Je química genera!, aplicada 4 las artes., escrito por D, Josef María de S* Cristóbal y. D. Josef Gairiga y Buach, pensionados, de S- ,M. católica -en París: ' tomo z ° Se hallará-con el x,° en la librería de Sancha, calíe; del Lobo. . Pablo y Virginia: historia verdadera traducida del francé</t>
  </si>
  <si>
    <t>Josef Galiano, Juan</t>
  </si>
  <si>
    <t>Juan Josef Galiano</t>
  </si>
  <si>
    <t>o de Madrid. El Rey se ha servido promover á mariscales de campo de sus exército* á ios brigadieres D. Juan Josef Galiano y D. Alonso Barroso de Erias, comandantes de los batallones tercero y primero del regimiento de reales guardias de infantería española; y á capitán primero del real cuerpo de ingenier</t>
  </si>
  <si>
    <t>Josef Gallego y Figueroa</t>
  </si>
  <si>
    <t>. S. M. se ha servido nombrar para el deanato de la catedral de Avila, vacante por fallecimiento de D. Josef Gallego y Figueroa, á D. Juan Alonso Gorjon, canónigo de la misma iglesia, con retención de la canongía que disfruta en ella: para la canongía de la misma, vacante por muerte del expresado D. Pedro</t>
  </si>
  <si>
    <t>Josef Gallego y Figueroa, Pedro</t>
  </si>
  <si>
    <t>Pedro Josef Gallego y Figueroa</t>
  </si>
  <si>
    <t>de la canongía que disfruta en ella: para la canongía de la misma, vacante por muerte del expresado D. Pedro Josef Gallego y Figueroa, á D. Bartolomé Garci-Martis</t>
  </si>
  <si>
    <t>Josef Gamboa, Juan</t>
  </si>
  <si>
    <t>Juan Josef Gamboa</t>
  </si>
  <si>
    <t>maestrescuela de la metropolitana de México, vacante por fallecimiento de Doa Juan Antonio Bruno, á D. Juan Josef Gamboa; y para la tesorería que este dexa al canónigo doctoral D. Juan Francisco Xarava: para una ración de la catedral dé Puebla de los Angeles, vacante por muerte de D. Juan Sánchez So</t>
  </si>
  <si>
    <t>Josef Gandirías</t>
  </si>
  <si>
    <t>on dos comerciantes de aquella plaza armar en corso la goleta S. Ignacio, al mando de sus capitanes D. Josef Gandirías y D. Agustin Noel, con objeto de atacar al enemigo. Este fue reconocido el 22 de julio del año anterior ; y aunque quiso evitar la acción, le empeño en ella nuestro corsario, quien si</t>
  </si>
  <si>
    <t>Josef García</t>
  </si>
  <si>
    <t>brera capitán del de dragones del Reyr j y en eL de húsares Españoles empleo de reniente al alférez D. Josef García.. S. M. se ha servido nombrar capitán de la compañía fixa de artilleros de guarnición de la plaza de Alicante á D. Pablo Salas, ayudante mayor de la brigada de artilleros de Mallo</t>
  </si>
  <si>
    <t>Josef García Caballero</t>
  </si>
  <si>
    <t>deduce el valor del pie romano igual al pie porfirético de que habla Mariana. „ Estas medidas, dice D. Josef García Caballero, introduxéron los Romanos en España qnando la gobernaron; y desde aquel tiempo se han conservado en ella para el trato de comprar y vender todo género de semillas y demas cosas qu</t>
  </si>
  <si>
    <t>Josef García de la Madrid</t>
  </si>
  <si>
    <t>a en 125,390 rs., acuda ante el Sr. £&gt;. Mariano Alonso, alcalde de casa corte, por la escribanía de D. Josef García de la Madrid, dentro del término de 30 dias contados desde 18 del corriente. AVISOS. El 6 del corriente remitió D. Juan Dorda, de! comercio de Valencia , g vales de 60o pesos, creación i.°de e</t>
  </si>
  <si>
    <t>Josef García de la Madrid, Miguel</t>
  </si>
  <si>
    <t>Miguel Josef García de la Madrid</t>
  </si>
  <si>
    <t>ación en vales reales, acuda ante el señor alcalde de corte D. Mariano Alonso, por la escribanía de D. Miguel Josef García de la Madrid; previniendo estar señalado para su remate el 28 del presente. Quien quisiere hacer postura á una casa sita en esta corte, calle de Sta. Isabel, núm. 12, manz.5, tasada en 102,851</t>
  </si>
  <si>
    <t>00, acuda ante el Sr. D. Mariano Alonso, alcalde de casa y corte, por la escribanía de provincia de D. Miguel Josef García de la Madrid; previniendo está señalado para su remate el jueves 12 de noviembre próximo en la audiencia de dicho señor juez. Por providencia del Sr. D. León de Sagasta, teniente corregidor de</t>
  </si>
  <si>
    <t>Josef García Suelto</t>
  </si>
  <si>
    <t>Llaguno, IX Pedro Baranda, JoaquinGuio, Jcsef Mendez, Bartolomé Martin, Pedro Guio, Vívente Crespo, D. Josef García Suelto, Francisco Quintín Sánchez, D. Juan Muñoz, D. Félix Salces, Gonzalo Vega, F...... Pantoja, Manuel Solano, Miguel Quintana, D. Andrés Calvo, Pedro Presa, Albertos Chueca, y al dueñ</t>
  </si>
  <si>
    <t>Josef García, Miguel</t>
  </si>
  <si>
    <t>Miguel Josef García</t>
  </si>
  <si>
    <t>en 831,800 rs., acuda ante el Sr. D. Mariano Alonso, alcalde de casa y corte, por la escribanía de D. Miguel Josef García dfe la Madrid; previniéndose de que está señalado para su remate el dia 27 del corriente. Por providencia del Sr. D. Torquato Antonio Collado, teniente corregidor de esta villa, y</t>
  </si>
  <si>
    <t>Josef Garcini de Queralt</t>
  </si>
  <si>
    <t>a por la escribanía de la subdelegacion, que exerce D. Sebastian Atíenza Moraga. Por providencia de D. Josef Garcini de Queralt, comisionado regio para la venta de bienes eclesiásticos en Granada , se ha señalado el 3 de agosto próximo para el remate de un cortijo, con su casa y 93 marjales de tierra de ri</t>
  </si>
  <si>
    <t>Josef Garciny de Queralt</t>
  </si>
  <si>
    <t>en la inteligencia de que en el dia 25 del presente se ha de celebrar el remate Por providencia de D. Josef Garciny de Queralt, comisionado regio para la venta de bienes eclesiásticos de la diócesi de Granada, se ha señalado el dia 12 del próximo mes de mayo para el remate, entre otras fincas de capellaní</t>
  </si>
  <si>
    <t>tudiosos de las bellas artes para su inteligencia y gobierno. VENTAS JUDICIALES. Por providencia de D. Josef Garciny de Queralt, comisionado regio para la venta de bienes eclesiásticos de la diócesi de, Granada* se ha señalado «1 dia 20 del corriente para el remate de una huerta* con su casa y 37 marjales</t>
  </si>
  <si>
    <t>Josef Garriga</t>
  </si>
  <si>
    <t>oncellas pobres y honradas, que se presentaron vestidas á expensas del cuerpo. En seguida los Sres. D. Josef Garriga, alcalde del crimen de la real audiencia, y D. Josef Lucas Labrada, secretario del consulado, leyeron dos discursos alusivos al asunto. El'propio dia .se sirvió una abundante comi</t>
  </si>
  <si>
    <t>Josef Gasqiie</t>
  </si>
  <si>
    <t>. DiegoPerosa; á cadete de número al supernumerario D. Josef Moldes , y á supernumerario al'guardia D. Josef Gasqiie. • El rey se ha servido conferir compañía en el regimiento de infantería de voluntarios de Estado al ayudante, graduado de capitán, D. Josef de Céspedes. . En atención i los bueno</t>
  </si>
  <si>
    <t>Josef Gasqüé</t>
  </si>
  <si>
    <t>. Antonio Uííuuri; y en la Americana del propio real cuerpo á cadete en propiedad ai supernumerario D. Josef Gasqüé, y á supernumerario al guardia D. Josef Escalada. En el regimiento de infantería de Soria se ha servido S. M. promover á subteniente de bandera al sargento primero de granaderos D</t>
  </si>
  <si>
    <t>Josef Gayo</t>
  </si>
  <si>
    <t>avegación y álgélira ef dicho Fragua, D^.Pedro Villar* D. Lorenzo Sagra y Dv Juan Anselmo Villapol. Don Josef Gayo , aunque no matriculado, en el álgebra y su aplicación á la geometría. Todos los qualés resolviérón en sus respectivas clases quantos problemas se les señalaron; y se presentaron</t>
  </si>
  <si>
    <t>Joséf Gazzeri</t>
  </si>
  <si>
    <t>iibljf, mica D. Joséf Gazzeri presento un higrendiómetroyó instrumento para medir la humedad y bondad dél ay re, de su* invención. Don Felipe Galliz-t zioli, profesor de historia natural y deagriculturaen Eaen</t>
  </si>
  <si>
    <t>Josef Genaro Cháple</t>
  </si>
  <si>
    <t>rica los mencionados Carrero, Royo, Eiroa, Ordavideluz , Ge-* droa y Vaientin Diez; y en navegación D. Josef Genaro Cháple. D. Lorenzo Sagra, que después de haber concluido sus estudios de navegación» se ha dedicado á los de la matemática superior, dió tambien. en los referidos íCtos nuevas pruebas de</t>
  </si>
  <si>
    <t>Josef Gil de Sagredo</t>
  </si>
  <si>
    <t>guel de la ciudad de Murcia, diócesi de Cartagena, vacante por fallecimiento de D. Josef Leseara, á D. Josef Gil de Sagredo,con retención del arciprestazgo de Alcaraz que obtiene: para una canongía de la catedral de Sigiienza, vacante por muerte de D. Juan Melero, á D. Luis Delgado Ramos, catedrático d</t>
  </si>
  <si>
    <t>Josef Gómez</t>
  </si>
  <si>
    <t>ado el dia 6 de julio próximo para el remate de las fincas pertenecientes á la capellanía que fundó D. Josef Gómez, vecino de Santander y Lloreda, propias de la real caxa de consolidación, á saber: una casa palacio nuevo, arquitectura y divisiones del dia, con accesoria y dos huer</t>
  </si>
  <si>
    <t>Josef Gómez de la Torre</t>
  </si>
  <si>
    <t>yor del regimiento de infantería de Africa al capitán del de Granada, graduado de teniente coronel, D. Josef Gómez de la Torre : ayudantía en el de voluntarios de Castilla ai teniente, graduado de capitán, D. Antonio Federich ; y subtenencia de bandera en el de Ultonia al cadete D. Josef María Col ubi. El</t>
  </si>
  <si>
    <t>Josef Gómez, Manuel</t>
  </si>
  <si>
    <t>Manuel Josef Gómez</t>
  </si>
  <si>
    <t>do, quien supiere su paradero se ssrvirá avisar en Cádiz á dicho D. Julián Mondiere, ó en Almería á D. Manuel Josef Gómez.</t>
  </si>
  <si>
    <t>Josef González</t>
  </si>
  <si>
    <t>rrera, D. Francisco de las Casas VD. Tomas Salazar, Don Mariano..Fernandez^. D. Manuel Flor an.es y D. Josef González dei Valle fueron exáminados.de aritmética, álgebra, geometría y trigonometría plana, y premiados cada uno de ellos con un exemplar de los elementos de geometría de Euclides, por Robe</t>
  </si>
  <si>
    <t>subteniente de granaderos D. Jcsef Andrés Delgado, y en el de León subtenencia de bandera al cadete D. Josef González. El capitán de navio y comandante de las fuerzas sutiles del apostadero de Málaga D. Francisco Maurell ha dado cuenta al Serenísimo Señor Príncipe Generalísimo Almirante de haber</t>
  </si>
  <si>
    <t>Josef González Cándamo</t>
  </si>
  <si>
    <t>D. Diego Manrique, gobernador y capitán general que fue de esta ciudad é isla, y las del limo. Sr. D. Josef González Cándamo, obispo de M^ilasa, auxiliar de esta diócesi , y díó principio á su traslación al cementerio á las quatro y media de Iá tarde. Formaban la procesión todos los vecinos mas distingu</t>
  </si>
  <si>
    <t>Josef González Ycbra</t>
  </si>
  <si>
    <t>del comercio de Cádiz, y en caso de haber este fallecido, de sus herederos, se servirá avisar al P. D. Josef González Ycbra, de la congregación del Salvador de esta corte. LIBROS. Nuevas efemérides de España, históricas, políticas,, literarias y religiosas , por D. P. M. O.: quaderno último de la obra,</t>
  </si>
  <si>
    <t>Josef González'Santos</t>
  </si>
  <si>
    <t>o, diezmo entero y quarto. Quien quisiere mejorar dicha postura, acuda por la escribanía que exerce D. Josef González'Santos. Por la comisión real de la diócesi de Plasencm, y en virtud de auto del subdelegado en él departamento dé la ciudad de Truxtllo, se ha mandado sacar á pú^ blica SubasfaTa mitad-</t>
  </si>
  <si>
    <t>Josef Gornez, Manuel</t>
  </si>
  <si>
    <t>Manuel Josef Gornez</t>
  </si>
  <si>
    <t>446, y uno de 150 pesos, de la de i.° de setiembre, núm. 186281 , endosados con su firma á favor de D. Manuel Josef Gornez, vecino de Almería; y habiéndose extraviado, quien supiere su paradero se ssrvirá avisar en Cádiz á dicho D. Julián Mondiere, ó en Almería á D. Manuel Josef Gómez.</t>
  </si>
  <si>
    <t>Josef Gorostiza y Dv Josef Florencio de Castilla</t>
  </si>
  <si>
    <t>s del Príncipe en el reyno de Nueva-España se ha servido S.-M. promover á tenientes á los ulférécés D. Josef Gorostiza y Dv Josef Florencio de Castilla; á alféreces i los portaestandartes*D. Hilario García Tejada * D. Jtian Pesquera, D. Andrés Obregon y D. Antonio Velásco y Pérez* Gatvez* y a portaestandartes al cadete D. Josef A</t>
  </si>
  <si>
    <t>Josef Gregorio del Hoyo</t>
  </si>
  <si>
    <t>de número de D. Antonio López de Salazar, AVISO. Se desea saber el paradero de Josef Gregorio del Hoyo, natural de esta corte, hijo de Antonio y Manuela López, que se casó en la parroquia de 5. Martin en 12 de junio de 1796 con Catalina Lillo, natural del lugar de Liceras, obispado de Sigüe</t>
  </si>
  <si>
    <t>Josef Gregorio IJrbiso</t>
  </si>
  <si>
    <t>frecen pasarla al depositario, que provisionalmente se eligió en el acto, que lo fue el comerciante D. Josef Gregorio IJrbiso. Este, que es andaluz, dixo: „Señores, la recompensa de mi paisano; Félix Odero , no la cede la Andalucía á ninguna otra provincia... Existimos en Nuera-España individuos andaluce</t>
  </si>
  <si>
    <t>Josef Guerrero</t>
  </si>
  <si>
    <t>Pedro Dupont; y en el batallón de voluntarios de Tarragona ei empleo de capitán segundo al teniente D. Josef Guerrero.</t>
  </si>
  <si>
    <t>Josef Guixer y Sala</t>
  </si>
  <si>
    <t>ócesi de Barcelona, y en virtud de auto del juez subdelegado del distrito de Villafranca de Panades D. Josef Guixer y Sala, alcalde mayor de dicha villa, se saca á pública subasta la heredad nombrada Manllauhet de Bayo, que se compone de una casa, con sus oficinas, y 152 jornales de tierra en el térmi</t>
  </si>
  <si>
    <t>ócesi de Barcelona, y en virtud de auto del juez subdelegado del distrito de Villaíranca de Panadés D. Josef Guixer y Sala, alcalde mayor de esta villa, se saca á pública subasta una heredad con su casa y tierras campas, viñas y rocosa, nombrada casa Rafols , tasada en 131,219 rs. 11 mrs.; y otra here</t>
  </si>
  <si>
    <t>Josef Gutiérrez</t>
  </si>
  <si>
    <t>re. En el regimiento de dragones de Almansa se ha servido el Rey conceder tenencias á los alféreces D Josef Gutiérrez y D. Fernando Montero , y empleo de alférez al portaguión D. Agustín Mellon: en el de Sagunto ayudantía al teniente D. Ramón Espona; y en el de húsares españoles empleo de alférez al</t>
  </si>
  <si>
    <t>Josef Gutiérrez de Valderama</t>
  </si>
  <si>
    <t>narios D. Josef Luis Mendez y D. Josef Catllar: á guarda-almacenes ordinarios á los extraordinarios D. Josef Gutiérrez de Valderama y D. Juan Bautista Masa; y á guarda-almacenes extraordinarios á los escribientes de número del ramo de artillería D. Francisco Antonio Hernández y D. Antonio Espinosa. En América. S.</t>
  </si>
  <si>
    <t>Josef Hachón Roca</t>
  </si>
  <si>
    <t>aragoza, vacante por promoción de D. Joaquín Regales á canongía de la referida iglesia de Lérida: á D. Josef Hachón Roca para un beneficio de la parroquial de Monroyo , diócesi de Zaragoza, vacante por fallecimiento de D. Jacinto Báycd': á D. Femando Miranda para el beneficio primero de Sta. Catalin</t>
  </si>
  <si>
    <t>Josef Hernando</t>
  </si>
  <si>
    <t>calidad de examinadores los socios D. Serapio Sinues, catedrático de agricultura , médico colegial, D. Josef Hernando y D. Tomas López, también médicos colegiales, y secretarios de las clases de agricultura y artes, D. Pedro Gregorio de Echeandia, catedrático de botánica, D. Benito Josef de Ribera, d</t>
  </si>
  <si>
    <t>Josef Herrero</t>
  </si>
  <si>
    <t>cio de la parroquial de Xavea, diócesis de Valencia, por muerte de D. Valero Gargalio, debe decir á D. Josef Herrero. NUÉVOS DESCUBRIMIENTOS DE BOTANICA. Los botánicos del Peiú han recibido 10 dibuxos de otras tantas especies de chichona ó de quinos de ios montes de Loxa, que han remitido al Rey</t>
  </si>
  <si>
    <t>Josef Hipólito Pagés</t>
  </si>
  <si>
    <t>ración que este dexa á D. Francisco Xavier Rodríguez; y para la media-ración que resulta vacante á D. Josef Hipólito Pagés, cura en el obispado de Maracaybo. Para las canongías doctoral y magistral de la¡ catedral de Guadalaxara» vacante la primera por ascenso de D. Juan Martínez de los Ríos á la teso</t>
  </si>
  <si>
    <t>Josef Hitero Retes</t>
  </si>
  <si>
    <t>l numero de la catedral de Palencia, vacante por fallecimiento de D. Francisco González del Olmo, á D. Josef Hitero Retes. En el regimiento de reales guardias Valonas se ha servido el Rey promover á capitán al teniente D. Carlos de Menche. S. M. se ha servido conferir en el regimiento de infantería d</t>
  </si>
  <si>
    <t>Josef Hordavidalnz</t>
  </si>
  <si>
    <t>es, D. Bernardo Becerra, D.Josef Carrero, D. Ramón Eiroa, D. Ramón Suazo, D. Antonio Valentín Díaz, D. Josef Hordavidalnz, D. Lorenzo Cedrón, D. JuanPefundely D. Manuel Elizaicin. En geometría especulativa D. Josef Genaro Ghapley D;* Ildefonso Pozb, Don Joaquín Verástegui, D. Josef Natfarfete , Dr Jo</t>
  </si>
  <si>
    <t>Josef Hurtado de Mendoza</t>
  </si>
  <si>
    <t>ones de la Reyna aí teniente D. Andrés Xirnenez : en el de Almanta empleos de alférez al portaguión D. Josef Hurtado de Mendoza, y al cadete D. Fernando Montero; y el de portaguión al sargento primero Don Diego Camacho: en el de Lusitania empleo de alférez al portaguión Don Diego de Torres; y en el de Sagu</t>
  </si>
  <si>
    <t>Josef Iglesias</t>
  </si>
  <si>
    <t>en los siete días de la semana por los misterios de su celestial vida* Estas obra? son postumas de D. Josef Iglesias: 2 tomos en 8.°, á 8 rs. cada uno en pasta. Se hallarán en la librería de Bengoechea, calle de las Carretas. Instrucciones ó pláticas para los domingos y fiestas del año, escritas</t>
  </si>
  <si>
    <t>Josef Ignacio de March</t>
  </si>
  <si>
    <t>ze: escrito para la instrucción de los caballeros cadetes del regimiento de dragones de Saguntó por D. Josef Ignacio de March, capitán del mismo regimiento. Se vende en la librería de Martínez, frente i S. Felipe el Real, y en Barcelona en la de Brusi. Idea de la esfera ó principios de geografía astronóm</t>
  </si>
  <si>
    <t>Josef Ignacio Willa</t>
  </si>
  <si>
    <t>axler á D. Remigio Schwanden, capitán de granaderos del mismo : ayudante en el de Preux al teniente D. Josef Ignacio Willa: subteniente en el de Betschart al cadete D. Juan JosefWohleb: subteniente de granaderos en el de Reding, núm. 2.0, al de fusileros Den Josef Buman: subteniente en el de Reding, n</t>
  </si>
  <si>
    <t>Josef Igual</t>
  </si>
  <si>
    <t>ionado regio para la venta de bienes eclesiásticos en aquella ciudad y su diócesi, por el oficio de D. Josef Igual. Por providencia del Sr. D. Torquato Antonio Collado, teniente corregidor de esta villa, juez comisionado por el real y supremo consejo de Castilla para entender en los autos de c</t>
  </si>
  <si>
    <t>Josef Infante</t>
  </si>
  <si>
    <t>o Belb. En el regimiento de caballería de la Reyna se ha servido S. M. conceder Tenencia al Alférez D. Josef Infante : en el de Farnesio Avudactía al Teniente, graduado de Capitán, D. Matías Lajustrcia: en el ae Santiago Tenencia al Alférez D. Josef Cueto; y en el de cazadores voluntarios ae Esp</t>
  </si>
  <si>
    <t>Josef Inglesa</t>
  </si>
  <si>
    <t>randa para el beneficio primero de Sta. Catalina, vacante en la catedral de Barcelona por muerte de D. Josef Inglesa; y á D. Miguel Cásset para otro beneficio, cum</t>
  </si>
  <si>
    <t>Josef Iñiguez, Juan</t>
  </si>
  <si>
    <t>Juan Josef Iñiguez</t>
  </si>
  <si>
    <t>os que no fuesen gravosos. Y, gracias á la suma actividad é infatigables desvelos de su comisionado D. Juan Josef Iñiguez, tiene la satisfacción de anunciar al publico que por el espacio de tres quartos de legua, desde la villa de Herce hasta la casa misma de ios baños en Arnedilio, hay ya hecho «n c</t>
  </si>
  <si>
    <t>Josef Irala</t>
  </si>
  <si>
    <t>teniente D. Francisco Arroyave; á teniente al alférez marques del Apartado; á alférez al portaguión D. Josef Irala, y á portaguión al cadete D. Josef Bey tía. En el re cimiento de milicias urbanas de caballería de Truxillo, en el reyno del Perú, se ha servido el Rey promover á sargento mayor a</t>
  </si>
  <si>
    <t>Josef Isla</t>
  </si>
  <si>
    <t>matemáticas , del cargo de D. Josef Valle jo, en este curso se juzgó acreedores al primer premio á D. Josef Isla , D. Josef Cacho y D. Josef Alvarez; á D. Ramón Arce y D. Rafael Sousa al segundo , y i D. Mariano Ibañez al terceros En la de segundo año de matemáticas, dei cargo, en el present</t>
  </si>
  <si>
    <t>Josef Jacinto de Llanos</t>
  </si>
  <si>
    <t>o nombrar para una ración de la catedral de Valiadolid de Mechoacan, vacante por haberla renunciado D. Josef Jacinto de Llanos, al medio racionero D. Francisco de Borja Romero y Santa María; y para esta resulta á D. Antonio Lauriano Cortes y Olarte. También se ha dignado S. M. nombrar para la plaza de oid</t>
  </si>
  <si>
    <t>Josef Jacinto de Llanos y Valdés</t>
  </si>
  <si>
    <t>por fallecimiento de D. Antonio Belauzaran, á D. Josef Alvarez Gato: para la ración que este dexa á D. Josef Jacinto de Llanos y Valdés: para la media que refulta vacante á D. Antonio Laureano Cortés y Ú lar te, cura en aquella diócesis. También se ha dignado S. M. conceder á D. Francisco Antonio García de Quintan</t>
  </si>
  <si>
    <t>Josef Jacinto Teruel</t>
  </si>
  <si>
    <t>o Martínez de España, á D. Juan Josef Rodtfgo de Mena. r 11 s VENTAS JUDICIALES. Por providencia de D. Josef Jacinto Teruel , comisionado regio para la venta de bienes eclesiásticos : secularizados en la diócesi de Cartagena, se ha señalado el dia 13 del presente para el remate de las fincas siguientes</t>
  </si>
  <si>
    <t>Josef Jenér</t>
  </si>
  <si>
    <t>sef Luanco, D. Matías Espantoso» D. Andrés González Diez, D. Gaspar de Soto y Parga, D. Ramón Abad» D. Josef Jenér, D. Angel Selisis Palomo , D. Francisco Xavier Rivadulla y D. Gregorio Calderón y Durango: en geometría elemental D. Josef Ordavidcluz, D. Manuel Cedrón, D. Antonio Valentín Diez,</t>
  </si>
  <si>
    <t>Josef Joaquín Beltran</t>
  </si>
  <si>
    <t>Rey se ha servido nombrar para el deanato de la iglesia de Comayagua, vacante por fallecimiento de D. Josef Joaquín Beltran, á D. Pedro Alvino Mexía; para el arcedianato que este dexa al chantre Don Josef María S. Martin; para la chantría ai maestrescuela D. Juan Francisco Márquez, y para esta resulta</t>
  </si>
  <si>
    <t>Josef Joaquín de Milá de la Roca y de Astigarraga</t>
  </si>
  <si>
    <t>á los particulares méritos y servicios personales contraídos en beneficio público y del estado por D. Josef Joaquín de Milá de la Roca y de Astigarraga, natural de la ciudad de S. Sebastian, en la proviiicia de Guipúzcoa, vecino y del comercio de la ciudad de Barcelona, á Ja antigüedad de su casa solar, y al esclarecido origen de</t>
  </si>
  <si>
    <t>Josef Joaquín de Sta</t>
  </si>
  <si>
    <t>egado, por la escribanía de la subdelegacion, que exerce D. Francisco Diaz Flor. Por providencia de D. Josef Joaquín de Sta. María , corregidor de Toleda, se saca á pública subasta la dehesa de pasto y labor intitulada de Pinedo, de caber 1022 fanegas de tierra de 500 estadales, con 979 olivas grandes,</t>
  </si>
  <si>
    <t>Josef Joaquín de Unzueta</t>
  </si>
  <si>
    <t>osef Vicente Beltran, conde de Sta. Rosa, cara asimismo de dscho obispado: para la primera ración á D. Josef Joaquín de Unzueta: para la seganda á D. Josef Manuel Samartin , ambos medios racioneros de aquella catedral: para la primera media- ración á D. Toribio González ; y para la segunda á D, Manuel Esco</t>
  </si>
  <si>
    <t>Josef Joaquín Mazuelo</t>
  </si>
  <si>
    <t>. Agustín Cabellos para la media-ración de la iglesia catedral de Córdoba, vacante por promoción de D. Josef Joaquín Mazuelo á ración entera de la propia iglesia, á D. Miguel Tosta: para el beneficio simple rural del despoblado de S. Pedro de Campean en la diócesi de Zamora, vacante por fallecimiento de</t>
  </si>
  <si>
    <t>Josef Joaquín Montes</t>
  </si>
  <si>
    <t>del partido de Lorica, en el reyno de Sta. Fe» se ha dignado S. M. promover a capitanes ai teniente D. Josef Joaquín Montes y á D. Vicente Pazos; á tenientes á IX Manuel Oíascoaga y D. Marcelo Negrete » y á subtenientes á D. Agustín García y D, Josef de la Cruz Gómez, los cinco últimos vecinos de la Juri</t>
  </si>
  <si>
    <t>Josef Joaquín Mozuelo</t>
  </si>
  <si>
    <t>ua; y para la ración que se halla vacante en la catedral de Córdoba, por muerte de D. Pedro León, 4 D, Josef Joaquín Mozuelo, medio racionero de la misma iglesia. En el regimiento de reales guardias de infantería Walona se ha dignado el rey conceder el empleo de primer ayudante mayor ai teniente dé fusi</t>
  </si>
  <si>
    <t>Josef Joaquín Paez</t>
  </si>
  <si>
    <t>te D. Francisco García Briugas; á ayudante al teniente D. Pedro Josef Muñoz ; á teniente aí alférez D. Josef Joaquín Paez; á alférez al portaguión D. Pedro Antonio Muñoz; y á portaguión al sargento D. Francisco Montero. En los dias 3 y 4 del pasado se presentaron á exámenes públicos de gramática cast</t>
  </si>
  <si>
    <t>Josef Joaquín Pantoja</t>
  </si>
  <si>
    <t>úm. 11, quarto entresuelo; en dicha ciudad á D„ Francisco Duran de la Rocha, y en la de Vaüadolid á D. Josef Joaquín Pantoja , marques del Arco, quienes enterarán de las circunstancias baxo las quales se ha de hacer el arriendo. 1IBROS. Tratado de la iglesia de Jesucristo, ó Historia eclesiástica, por e</t>
  </si>
  <si>
    <t>Josef Jorva</t>
  </si>
  <si>
    <t>e de D. Pedro Trejo , y no haber tenido efectosla&gt;provisión que tuvo a bien S. M. de hacer en el P. D. Josef Jorva, del Órden de Clérigos Menores, y Capellán del regimiento de infantería :del Rey; y para la Racion titulada de San Marcelo, que en la catedral de León'ha resultado vacante por fal</t>
  </si>
  <si>
    <t>Josef Justo Lo</t>
  </si>
  <si>
    <t>comisión real de bienes eclesiásticos de la diócesi de Barcelona, y en virtud de auto provisto por D. Josef Justo Lo pea Texerina, subdelegado de ella en el distrito de Matero, se han sacado á publica subasta una casa y gleba de tierra á ella contigua, parte de regadío, parte de conreo y secano,</t>
  </si>
  <si>
    <t>Josef Justo Sateedo</t>
  </si>
  <si>
    <t>S. A. los tenientes generales de la real armada D. Ignacio María de Alava, D. Antonio de Escaño, y D. Josef Justo Sateedo; D. Luis María de Salazar, intendente general; D. Juan Peres V¡Hamil , auditor general; el gefe de esquadra D. Josef de Espinosa, secretario; el capitán de navio D. Martín Fernand</t>
  </si>
  <si>
    <t>Josef la Pipa</t>
  </si>
  <si>
    <t>¿xccessit porque acreditó tener igualmente prendidos 1636 avellanos.: 800 rs. á Josef la Pipa, vecino de Nieves, Parroquia de Bueres, Concejo de Caso, porque acreditó haber sembrado 16 dias de bueyes de nabos gallegos entre el maiz,sin perjuicio de este, y ántes bien con ventajas</t>
  </si>
  <si>
    <t>Josef Larramendi</t>
  </si>
  <si>
    <t>igir memorial al inspector general de caminos y canales, y presentarlo por su ausencia al comisario D. Josef Larramendi, en que expresen la edad que tengan, que no deberá ser ménos de 20 años, y los estudios que hayan seguido anteriormente. El objeto de los exámenes es asegurarse que ios aspirantes</t>
  </si>
  <si>
    <t>Josef Lasala</t>
  </si>
  <si>
    <t>D. Gerónimo de Roxas ; á alférez al exento D. Félix Calvillo; á exénto de número al supernnmeratio D. Josef Lasala; á supernumerario al brigadier D. Vicente Bustamante; á brigadier al subrigadier Don Antonio Pascual; á subrigadier al cadete D. DiegoPerosa; á cadete de número al supernumerario</t>
  </si>
  <si>
    <t>Josef Leandro de la Torre y Retes</t>
  </si>
  <si>
    <t>r postara á qualquiera de ellas, lo executará por la escribanía de la misma comisión, que desempeña D. Josef Leandro de la Torre y Retes. Con real facultad se venden dos dehesas de pasto y labor sitas en término de la ciudad de Plasencia, la una de caber 800 fanegas de buena calidad, mediana é ínfima, llamada del M</t>
  </si>
  <si>
    <t>ra á qualqqiera de dichas fíncaselo executará por la escribanía de la misma comisión, que desempeña D. Josef Leandro de la Torre y Retes, Por providencia de D. Francisco Toribio ligarte, juez comisionado regio par* la venta de bienes eclesiásticos en la diócesi de Valencia, se ha mandado sacar á pública subasta, po</t>
  </si>
  <si>
    <t>á todas ó á qualquiera de ellas, lo executará por la escribanía de la misma comisión, que desempeña D. Josef Leandro de la Torre y Retes. En la gazeta núm. 84 y diario núm. 263 de este año se anunció la venta, en virtud de real facultad, de varias fincas existentes en jurisdicción de los pueblos de Vilíanueva del P</t>
  </si>
  <si>
    <t>Josef Lemos</t>
  </si>
  <si>
    <t>yudante D Rafael Mauduit; tenencia al alférez D. Cristóbal Frontín; empleo de alférez al portaguión D. Josef Lemos, y esta resulta á D. Antonio de Castro y Aguirre, cadete del de reales Guardias españolas. El día 12 de marzo próximo pasado falleció en esta corte, á los 80 años,, 6 meses y medi</t>
  </si>
  <si>
    <t>Josef León</t>
  </si>
  <si>
    <t>a publicados para el referido instrumento, también están con acompañamiento de guitarra, puesto por D. Josef León, músico de la real capilla.__ Asimismo se hallará por quadernos el método de tocar el forte-piano, por Mr. Adan, miembro del conservatorio de música de París, traducido del francé</t>
  </si>
  <si>
    <t>Josef Leseara</t>
  </si>
  <si>
    <t>a parroquia de S. Miguel de la ciudad de Murcia, diócesi de Cartagena, vacante por fallecimiento de D. Josef Leseara, á D. Josef Gil de Sagredo,con retención del arciprestazgo de Alcaraz que obtiene: para una canongía de la catedral de Sigiienza, vacante por muerte de D. Juan Melero, á D. Luis D</t>
  </si>
  <si>
    <t>Josef Ligero</t>
  </si>
  <si>
    <t>co Peyrolon y compañía. En Valladolid...... D. Francisco Durango é hijo mayor. En Zamora........... D. Josef Ligero. En Zaragoza........ D. Tomas de la Madrid. En Zeuta............... D. Pedro Huguet, comisionado subalterno del de Cádiz. Para dar lugar á las rifas de varias alhajas de gusto y v</t>
  </si>
  <si>
    <t>Josef Llopis</t>
  </si>
  <si>
    <t>S1 ... 19· Josef Llopis ......·...... de Pedro ...... ·Ali.:ante...................... J796•• Extrav. 144· .. 7- .'. Jos~f B:tldres ............ d~Vicente ... , Alcira ..............</t>
  </si>
  <si>
    <t>Josef Llórente Pérez</t>
  </si>
  <si>
    <t>cretaría de ayuntamiento de D. Vicente María de Arauna. avisos. El dia 20 de octubre último remitió D. Josef Llórente Perez, agente del número en esta corte, un vale de 150 pesos de la creación de setiembre, renovado con el nám. 180873, lleno en cabeza de D. Juan Ruiz del Castillo, á la ciudad de Grana</t>
  </si>
  <si>
    <t>Josef López Barajas</t>
  </si>
  <si>
    <t>ajas , caballero de la distinguida orden de Cirios m , y diputado de los reynos, y á los de sú hijo D. Josef López Barajas, caballero de la misma orden, se ha servido S. M. conceder al primero honores de ministro del tribunal de la con</t>
  </si>
  <si>
    <t>Josef López Martínez</t>
  </si>
  <si>
    <t>do en 84,620 rs. Quien quisiere hacer postura acudirá á la escribanía de la comisión, que desempeña D. Josef López Martínez. , Por providencia de D. Antonio Saenz de Vizmanos, comisionad® regio para la venta de bienes eclesiásticos en la di ócesi de Coria , se ha señalado él dia 27 del corriente para e</t>
  </si>
  <si>
    <t>asada en 50© rs. Quien quisiere hacer postura acuda por la escribanía de la comisión, que desempeña D. Josef López Martínez. Por providencia de D. Juan López de Vinueta, juez subdelegado para la venta de bienes eclesiásticos en la villa de Cáceres y pueblos de su arciprestazgo, se L,i mandado sacar á p</t>
  </si>
  <si>
    <t>en 64® rs. Quien quisiere hacer postura, acuda á la escribanía de la misma comisión, que desempeña D. Josef López Martínez. Quien quisiere hacer postura á las leñas que produzca la poda de chopos y bardagueras de la dehesa ó soto intitulado de Arganzuela, perteneciente á los propios de Madrid, situado</t>
  </si>
  <si>
    <t>Josef López Merino</t>
  </si>
  <si>
    <t>9S2 D. Manuel Martínez de Pinillos y D. Juan Martínez de Píníllos, y i los soldados distinguidos D. Josef López Merino y D. Martin O tolaza; y á portaestandartes á D. Josef Antonio Solís, D. Josef Clemente Merino y D. Juan Josef Gabirondo, también soldados distinguidos : y en rt dragones del valle de</t>
  </si>
  <si>
    <t>Josef López Ruiz, Santiago</t>
  </si>
  <si>
    <t>Santiago Josef López Ruiz</t>
  </si>
  <si>
    <t>. Calixto Mirandat para la tesorería af canónigo D. Tomas de Yepes: para esta canongía al racionero D. Santiago Josef López Ruiz, y para esta resulta al medio-racio</t>
  </si>
  <si>
    <t>Josef Lozano y Rendon</t>
  </si>
  <si>
    <t>as dos compañías sueltas de milicias disciplinadas de infantería de Loxa, en el reyno de Sta. Fe, á D. Josef Lozano y Rendon, vecino de la jurisdicción en que están establecidas. En la extracción de la real lotería, executada él lunes 15 del corriente, salieron los números 75, 29, 56, 28 y 3; y con ello</t>
  </si>
  <si>
    <t>Josef Luanco</t>
  </si>
  <si>
    <t>lamil. Fueron examinados en aritmética D. Ramón Covian, D. Antonio Ruftao Blanco, D. Josef Montes , D. Josef Luanco, D. Matías Espantoso» D. Andrés González Diez, D. Gaspar de Soto y Parga, D. Ramón Abad» D. Josef Jenér, D. Angel Selisis Palomo , D. Francisco Xavier Rivadulla y D. Gregorio Cald</t>
  </si>
  <si>
    <t>Josef Lucas Labrada</t>
  </si>
  <si>
    <t>ensas del cuerpo. En seguida los Sres. D. Josef Garriga, alcalde del crimen de la real audiencia, y D. Josef Lucas Labrada, secretario del consulado, leyeron dos discursos alusivos al asunto. El'propio dia .se sirvió una abundante comida á los presos de las dos cárceles y presidio de esta ciudad, y se</t>
  </si>
  <si>
    <t>Josef Lúeas Labrada</t>
  </si>
  <si>
    <t>de Santiago, lo verificó en el dia if de agosto, en la que se leyó por el Secretario del Consulado D. Josef Lúeas Labrada la oración inaugural, que al intento compuso, y después por el Señor Prior un discurso, manifestando los motivos y objetos de este tan útil establecimiento, á cuyo acto asistieron el</t>
  </si>
  <si>
    <t>Josef Luis Mendez</t>
  </si>
  <si>
    <t>n Antonio Várela: i comisarios de artillería honorarios.de guerra á los guarda-almacenes ordinarios D. Josef Luis Mendez y D. Josef Catllar: á guarda-almacenes ordinarios á los extraordinarios D. Josef Gutiérrez de Valderama y D. Juan Bautista Masa; y á guarda-almacenes extraordinarios á los escribiente</t>
  </si>
  <si>
    <t>Josef Luis Munarriz</t>
  </si>
  <si>
    <t>o de D. Isidoro Rosarte se ha servido S. M. nombrar secretario de la real academia de S. Fernando á D. Josef Luis Munarriz: lo que se previene á fin de que los pueblos, cabildos, iglesias, conventos y demas que intentaren construir obras púbiicas,ó hacer recursos á este real establecimiento, le dirija</t>
  </si>
  <si>
    <t>Josef Macías</t>
  </si>
  <si>
    <t>M. se ha servido conferir el gobierno del castillo de S. Lorenzo del Puntal de la plaza de Cádiz á D. Josef Macías, capitán del regimiento de infantería de voluntarios de Castilla. En América. El Rey se ha servido conferir el empleo de comandante del batallón de infantería provincial de Guadal</t>
  </si>
  <si>
    <t>Josef Maea</t>
  </si>
  <si>
    <t>BADO, f Nueva estampa fina de S. Benito, abad y fundador, en quartilla de marca mayor, dibuxada por D. Josef Maea, y grabada por D. Mariano Brandi. Se vende en la librería de Escribano, calle de las Carretas. Continuación á I03 gritos de Madrid, ó los revendedores callejeros, lámina xi, en la</t>
  </si>
  <si>
    <t>y el patriarca S. Josef, con el niño Dios en contemplación de su pasión, inventadas y dibuxadas por D. Josef Maea, y grabadas por D. Mariano Brandi, en quartilla de marca mayor, las que hacen juego con S. Benito Abad y fundador. Se venden en la librería de Escribano, calle de las Carretas. MU</t>
  </si>
  <si>
    <t>Estampas nuevas de S. Buenaventura y Sta. Rosa de Lima, en quartilla de marca mayor, dibuxadas por D. Josef Maea, y grabadas por D. Mariano Brandi. Se hallarán, con otras diferentes de igual tamaño, en la librería de Escribano, calle de las Carretas. MUSICA. En el almacén de música de la car</t>
  </si>
  <si>
    <t>Josef Magret</t>
  </si>
  <si>
    <t>parroquial de la villa de Prats del Rey, diócesi de Vique, baxo la invocación de Sta. Margarita, á D. Josef Magret; y para otro de la misma parroquial, baxo la invocación del Espíritu santo , á D. Antonio Pasare!!, El Rey se ha servido conferir compañía en el regimiento de caballería del Infan</t>
  </si>
  <si>
    <t>Josef Mañiz</t>
  </si>
  <si>
    <t>y se ha servido nombrar para la intendencia de la provincia de Cuenca, vacante por fallecimiento de D. Josef Mañiz, á D. Baltasar Fernandez, electo intendente de las nuevas poblaciones de Andalucía y Sierramorena: para esta á D. Hermenegildo de Llanderal, ministro de real hacienda de Ceuta : p</t>
  </si>
  <si>
    <t>Josef Manuel Calderón de Guevara</t>
  </si>
  <si>
    <t>d de Chinchilla á D. Manuel Fernandez. Duran: para la Vara de Alcalde mayor de la ciudad de Ronda á D. Josef Manuel Calderón de Guevara, Alcalde del crimen honorario de la Audiencia dé Extremadura: para la de la ciudad de Badajoz á D. Vicente Godinq| y para, la.de la ciudad de Valladolid á D. Josef María Otero» S.</t>
  </si>
  <si>
    <t>Josef Manuel del Rio</t>
  </si>
  <si>
    <t>ida comisión de literatos: D. Félix de las Cuevas, abogado de los reales consejos: D. Jaan Kearney: D. Josef Manuel del Rio: D. Eugenio de Aravaca, médico: el P. Alexandro Martínez del Patrocinio de la VE gen, de las escuelas pías; y D. Joaquín de Garay y Artabe.__ A todos estos íugetos se les ha dado</t>
  </si>
  <si>
    <t>Josef Manuel Quiros</t>
  </si>
  <si>
    <t>nte D. Sebastian de Roxas, á teniente al subteniente Don Josef Francisco Maestre, y á subteniente á D. Josef Manuel Quiros, vecino de la jurisdicción de dicho cuerpo. BANCO NACIONAL DE SAN CARLOS. La junta de gobierno del banco nacional de S. Cirios, en virtud del cap. 19 de la real cédula de erección</t>
  </si>
  <si>
    <t>Josef Manuel Samartin</t>
  </si>
  <si>
    <t>asimismo de dscho obispado: para la primera ración á D. Josef Joaquín de Unzueta: para la seganda á D. Josef Manuel Samartin , ambos medios racioneros de aquella catedral: para la primera media- ración á D. Toribio González ; y para la segunda á D, Manuel Escoto y González, curas en la referida diócesi;</t>
  </si>
  <si>
    <t>Josef Manuel Sanmartín</t>
  </si>
  <si>
    <t>dicha ciudad de Comayagua; y para dos medias-raciones de la de Guadalaxara, vacantes por ascenso de D. Josef Manuel Sanmartín y D. Josef Uazueta, á D. Ignacio Ramos y Patrón, y Josef Antonio Baeza, curas en la misma diócesi. VJSNTAS JUMCJAXJiSPor la audiencia del Sr. D. Torquato Artomo Collado, teniente corr</t>
  </si>
  <si>
    <t>Josef Marchane, Manuel</t>
  </si>
  <si>
    <t>Manuel Josef Marchane</t>
  </si>
  <si>
    <t>arcediano titular de la catedral de Almería, vacante por fallecimiento de D. Dionisio de la Cova, á D. Manuel Josef Marchane: para la canongía que este dexa ea la misma iglesia á D. Francisco Xavier Herrera y Blandino: pára otra de la catedral de Cuenca, vacante por ascenso de D. Pedro Vicente Yañez á o</t>
  </si>
  <si>
    <t>Josef Marcos Gutiérrez</t>
  </si>
  <si>
    <t>vez ccn muchas notaé'y adiciones, para que se han tenido presentes las reales órdenes mas modernas, D. Josef Marcos Gutiérrez: tomo 2.0 de 134.a impresión, con que concluye la i.a parte, sin embargo de lo mucho que se ha añadido. En el prospecto inserto en la gazeta de 26 de mayo de este año se dio notic</t>
  </si>
  <si>
    <t>Josef María Araujo</t>
  </si>
  <si>
    <t>" ' • ' •- En el regimiento de dragones de Almansa se ha servido S. M. conceder tenencia al alférez D. Josef María Araujo: en el die Pavía empleo de portaguión al sargento primero, graduado de alférez, D. Miguel Romero; y en el de Lusrtania ayudantía al teniente D. Josef Zamora. El Rey se ha servido</t>
  </si>
  <si>
    <t>Josef María Baxo Quadrado</t>
  </si>
  <si>
    <t>ción de la catedral dé Ciudad-Rodrigo, vacante por fallecimiento de D. Francisco Llanos Granados, á D. Josef María Baxo Quadrado, teniente cura de la parroquia de la villa de Hinojosa de Duero en dicha diócesi: para el beneficio de la parroquia de S. Cipriano de Pillarno, en el obispado de Oviedo, vacante p</t>
  </si>
  <si>
    <t>Josef María Bermudez</t>
  </si>
  <si>
    <t>umnos mas distinguidos de la clases dé'humanidades, que lo fuéron D. Josef An^ tonio Arespacochaga, D. Josef María Bermudez , Di Josef María; Tenorio*</t>
  </si>
  <si>
    <t>Josef María Bouille</t>
  </si>
  <si>
    <t>ido conferir en el regimiento de infantería de Cantabria compañía al ayudante, graduado de capitán, D. Josef María Bouille: en el de Guadalaxara tenencia al subteriente D. Juan de Mata Sánchez, y subtenencia de bandera al cadete D. Rafael Apeilanis; y en el de voluntarios de la Corona subtenencia de b</t>
  </si>
  <si>
    <t>Josef María Carvajal</t>
  </si>
  <si>
    <t>e la de Tarazona. El rey se ha servido nombrar coronel del regimiento de infantería fixo de Ceuta á D. Josef María Carvajal, teniente coronel del del Príncipe: capitán primero en el suizo de Traxler á D. Remigio Schwanden, capitán de granaderos del mismo : ayudante en el de Preux al teniente D. Josef I</t>
  </si>
  <si>
    <t>Josef María Cejudo de Aidana</t>
  </si>
  <si>
    <t>jon abrió la sesión por un discurso propio de las circunstancias. En seguida el secretario perpetuo D. Josef María Cejudo de Aidana, después de haber expuesto con brevedad el justo motivo déi júbilo universal, y la especial protección que S. A. S. había siempre dispensado á este real cuerpo, leyó su última car</t>
  </si>
  <si>
    <t>Josef María Cejudo de Aldana</t>
  </si>
  <si>
    <t>memorias de los aspirantes á los premios se dirigirán al secretario perpetuo de dicha real Sociedad D. Josef María Cejudo de Aldana, hasta el i.° de diciembre de este año.__Los autores de la* memorias ocultarán en ellas sus nombres, poniéndolos con noticia de su domicilio en pliego separado, cerrado y sellado;</t>
  </si>
  <si>
    <t>zi, se ha servido conceder plaza de discípulo observador del real instituto militar pestalozziano á D. Josef María Cejudo de Aldana, regidor perpetuo de aquel ayuntamiento y secretario de la sociedad. Igualmente ha condescendido S. A. á los mismos deseos de la de Mallorca, nombrando á su comisionado el P. D. F</t>
  </si>
  <si>
    <t>Josef María Col</t>
  </si>
  <si>
    <t>nte, graduado de capitán, D. Antonio Federich ; y subtenencia de bandera en el de Ultonia al cadete D. Josef María Col ubi. El Rey se ha servido conferir la sargentía mayor del regimiento de caballería de Farnesio al teniente coronel D. Francisco Cornet, capitán del mismo cnerpo. Por decreto de 20</t>
  </si>
  <si>
    <t>Josef María Colom y Osorio</t>
  </si>
  <si>
    <t>de cabezas. Consistió el premio eñ un quaderno de principios de dibuxo; y se dio otro de accessit á D. Josef María Colom y Osorio, por el mejor trozo que copió y presentó. Por el esmero con que Agustín de Vera imitó una excelente cabeza le fue entregad© un quaderno de estudio, Como premio extraordinario, y o</t>
  </si>
  <si>
    <t>Josef María de la Cuesta</t>
  </si>
  <si>
    <t>specto á la estrella Ny de la constelación de géminis: por el teniente de fragata de la real armada D. Josef María de la Cuesta. Inmersión. Emersión. Angulo de salida en anteTiempo verdadero. Tiempo verdadero. ojos directos: io contrario en los inversos. h / // h n Barcelona.................. 3. 13. 00....</t>
  </si>
  <si>
    <t>GIRCUNSTANCIAS DEL ECLIPSE DE SOL DEL 29 DE NOVIEMBRE - PROXIMO para varias ciudades de España; por D. Josef María de la Cuesta, v teniente de, fragata, de la real armada. Menor May. Primera impreTIEMPO VERDADERO. distau- fase sión de la luna cia de en dí­ sobre el sol. ceutr. gitos. Principio. Medio. Fia.</t>
  </si>
  <si>
    <t>Josef María de la Paz Rodríguez</t>
  </si>
  <si>
    <t>de las preparaciones y composiciones de la farmacopea de España, por el Dr. D. Josef María de la Paz Rodríguez, médico en Talavera: un tomo en 4.0 á 19 rs. en rústica.y á 22 en pasta en las librerías de Martínez y de Villareai , calle de las Carretas. Consumidas las dos primeras ediciones de la fa</t>
  </si>
  <si>
    <t>Josef María de la Torre Velver</t>
  </si>
  <si>
    <t>o el término de 4años para que dentro de ellos acudan ante el dicho juzgado, y por la escribanía de D. Josef María de la Torre Velver, las personas que como herederos de D. Faustino Marcos y de D. Francisco Antonio Faxardo, ausentes muchos años ha, sin saberse de su paradero, tengan derecho á cierta cantidad dep</t>
  </si>
  <si>
    <t>Josef María Duran</t>
  </si>
  <si>
    <t>pital de S. Luis, miembro de la sociedad de la escuela y de la de medicina de París: traducidos por D. Josef María Duran: tomo 3.0 Con este tomo queda completa la obra de Alibert, en que sin duda hallarán los principiantes un tratado elemental de materia médica, del qual carecian, fundado en las obs</t>
  </si>
  <si>
    <t>Josef María Fernández de Córdoba</t>
  </si>
  <si>
    <t>ones. Por la comisión real de -la diócesi de Barcelona, y én virtud de auto del subdelegado de ella D. Josef María Fernandez de Córdoba, se saca á publica subasta, por término dé 30 dias, una casa, con tres huertos cercados de pared, agua para regar, una porción de viña y otra de bosque, todo de extensión de 21 qu</t>
  </si>
  <si>
    <t>Josef María Galdeano</t>
  </si>
  <si>
    <t>para una plaza nacional de ministro del consejo de Navarra, por jubilación de D. Melchor de Udi, á D. Josef María Galdeano, alcalde de la corte mayor de dicho tribunal; y para esta resulta , as i mis</t>
  </si>
  <si>
    <t>Josef María Gómez</t>
  </si>
  <si>
    <t>l é hijo y compañía. En Segovia............ Sres. viuda de Ramiro y Martin. En Sevilla............. D. Josef María Gómez. En Soria................ D. Andrés Martínez de Aparicio. En Toledo......... . Sres. Chavarri y Posadillo. En Valencia.......... Sres. D. Francisco Peyrolon y compañía. En Vallado</t>
  </si>
  <si>
    <t>ial é hijo y compañía. En Segovia.......... . Sres. viuda de Ramiro y Mesa. En Sevilla............. D. Josef María Gómez. jEn Soria........... ... D. Andrés Martínez de Aparicio. En Toledo........ Sres. Chavarri y Posadillo. T«&gt;r(i..í........... Di Josef de Ligero. En Valentía......... Sres. D. Fran</t>
  </si>
  <si>
    <t>Josef María Granados</t>
  </si>
  <si>
    <t>ción de la catedral de Málaga, vacante por ascenso de D. Feliciano Molina i canongía de la misma, á D. Josef María Granados, medio-racionero de la misma. En la compañía Flamenca del real cuerpo de guardias de Corps se ha servido el Rey nombrar cadete de numero al supernumerario D. Luis $ariac, y supern</t>
  </si>
  <si>
    <t>o de la ó den de Alcántara: para la media-ración de la catedral de Málaga, vacante por promoción de D. Josef María Granados á ración de la misma iglesia, á D. Francisco de Paula Perez , capellán del regimiento de infantería de Málaga ; y para la penitenciaría del real monasterio de la Visitació n de Ma</t>
  </si>
  <si>
    <t>Josef María Hidalgo</t>
  </si>
  <si>
    <t>á la tesorería , y la segunda por muerte de D. Agustín del Rio, á D. Miguel Ignacio de Girate, y á D. Josef María Hidalgo. El Rey se ha dignado conceder ayudantías veteranas en los cuerpos de milicias disciplinadas del reyno de Gcatemala, en el batallón de Cartago á D. Lázaro Pablos; y en los escuadr</t>
  </si>
  <si>
    <t>Josef María Iñiguez</t>
  </si>
  <si>
    <t>y almacén de papel y cartones de Gpmez, calle de las Carretas. ! Doña Blanca: Viriato: tragedias de D. Josef María Iñiguez, á 4 rs. sueltas, y juntas en pasta á 10. = Reflexiones sobre la ortografía castellana,y modo de simplificar y fixar su escritura. Se propone y practica ei uso de la pronunciación</t>
  </si>
  <si>
    <t>Josef María Jusscé</t>
  </si>
  <si>
    <t>de Arana", D. Pablo Ferrando, cadete del regimiento de infantería de Soria, D. Eugenio de Zuloaga, Don Josef María Jusscé y D. Josef Baqúedano. Ganaron el premio extraordinario de instrucción religiosa los caballeros seminarista mayor D. Manuel Fernandez, gefe de sala D. Manuel de la Cámara, y seminarist</t>
  </si>
  <si>
    <t>Josef María Maestre y Díaz</t>
  </si>
  <si>
    <t>D. Manuel Morales y D. Jmn Gregorio Nieves: &amp; Subtenientes al Cadete D. Juan Nepomuceno Rabadan, á D. Josef María Maestre y Díaz, y D. Josef Vicente Campuzaoo: á Subteniente de bandera á D. Josef Francisco Maestre y Bedanos; y á Portaguión á D. Pedro de Castro, los quatro último.' vecino* de la jurisdicción</t>
  </si>
  <si>
    <t>Josef María Martinez Orihuela</t>
  </si>
  <si>
    <t>sef Dávila y D. Rafael Olazabal, y á subtenientes de bandera á los cadetes D. Francisco 'Olazabal y D. Josef María Martinez Orihuela. En el de caballería también disciplinada de Arequipa á portaestandartes á los cadetes D. Tiburcio del Calvo y Cosío, Don Mariano Eduardo O-Phelan, D. Juan Mariano Goyeaeche y D.</t>
  </si>
  <si>
    <t>Josef María Otero</t>
  </si>
  <si>
    <t>adura: para la de la ciudad de Badajoz á D. Vicente Godinq| y para, la.de la ciudad de Valladolid á D. Josef María Otero» S. M. se ha servido conceder honores de Intendente de exército al Contador mayor decano del tribunal de cuentas de Buenos-Ayres D. Pedro Josef Ballesteros, en atención á sus. dil</t>
  </si>
  <si>
    <t>y Alvarez: para la de la ciudad de Ronda, que ha renunciado D .«Josef Manuel Calderón de Guevara, á D. Josef María Otero: para la de la ciada d de Vaüadolid, que este dexa, á J). Juan Bermejo; y para la vara de Alcalde mayor de Castellón de la Plana i. D. Francisco Sociats y Soler,. Igualmente ha ve</t>
  </si>
  <si>
    <t>Josef María Palomares</t>
  </si>
  <si>
    <t>o de Goatemaía al teniente D. Pedro Salvador; y tenencia de fusileros al agregado en la misma clase D. Josef María Palomares. El Rey se ha servido conferir á D. Toribio del Mazo y Villaean, capitán graduado de exército, y teniente del batallón veterano de Milicias disciplinadas de Mérida de Yucatán, la</t>
  </si>
  <si>
    <t>Josef María Pérez de Rozas</t>
  </si>
  <si>
    <t>iérrez López Caravantes: para el de la ciudad de Sto. Domingo de la Calzada , de la misma clase » á D. Josef María Perez de Rozas; y para el de la villa de Tordesillas» también de segunda clase, á D. Vicente Sánchez Muñoz. Ea virtud de la promoción de D. Cayetano de Urbina, intendente del exército de Valenci</t>
  </si>
  <si>
    <t>Josef María Prichardo</t>
  </si>
  <si>
    <t>artagena, vacante por promoción de I). Eugenio García al arcedianato titular de la misma iglesia, á D. Josef María Prichardo, canónigo de la de Salamanca: para esta resulta á p. Andrés Castañon y Rodríguez, catedrático de historia eclesiástica de la universidad de dicha ciudad : para la dignidad de abad</t>
  </si>
  <si>
    <t>Josef María Puig</t>
  </si>
  <si>
    <t>y D. Francisco Mingo Fuentes, habiendo franqueado uno la señora marquesa de San Simón, otro el Sr. D. Josef María Puig, del consejo real, y dos el señor protector.Se dio principio y conclu</t>
  </si>
  <si>
    <t>al sargento primero de granaderos D. Marcos Furriel. En atención á los méritos y* circunstancias de D. Josef María Puig, ministro del consejo, y honorario de la cámara, se ha servido el Rey concederle phza de ministro de la junta general de comercio y moneda. S. M. ha resuelto quede sin efecto el p</t>
  </si>
  <si>
    <t>Josef María Puig de Samper</t>
  </si>
  <si>
    <t>ximo^expedido á la cámara, se ha servido S. M. conceder honores de este mismo tribunal ai limo. Sr. D. Josef María Puig de Samper, ministro del consejo real, en atención á su mérito y servicios. En América. En el regimiento de dragones de España, en el reyno de México, se ha servido el Rey promover á capitán</t>
  </si>
  <si>
    <t>Josef María Sani</t>
  </si>
  <si>
    <t>nombrar para una canongía de la catedral de León, vacante por fallecimiento de D. Carlos Pantoja, á D. Josef María Sani, canónigo de la colegiata de S. Ildefonso: para una media ración de la catedral de Salamanca, vacante por muerte de D. Josef Domínguez, i D. Miguel Martel, catedrático de filosofí</t>
  </si>
  <si>
    <t>Josef María Uriarte</t>
  </si>
  <si>
    <t>se ha setvido conceder en el regimiento de infantería de Asturias subtenencia de bandera al cadete D. Josef María Uriarte. El Rey se ha servido conferir compañía en el regimiento de caballería</t>
  </si>
  <si>
    <t>Josef María Vallejo</t>
  </si>
  <si>
    <t>ro de primeras letras de Murcia: el teniente coronel de granaderos Provinciales D. Tomas de Llanes: D. Josef María Vallejo, catedrático de matemáticas del real seminario de nobles: D. Francisco Xavier Cavanes, abanderado de reales guardias Walonas: D. Guillermo Xaramilio, individuo del real colegio ac</t>
  </si>
  <si>
    <t>Josef Mariano Ramírez</t>
  </si>
  <si>
    <t>doctoral de la misma colegiata: para la ración vacante en la metropolitana de México, por muerte de D. Josef Mariano Ramírez, á D. Isidoro Sainz de Alfaro; y para la media - ración, que este dexa, á D. Josef Ensebio de Ortega, cura en aquel arzobispado. S. M. á consulta de su consejo se ha dignado conce</t>
  </si>
  <si>
    <t>Josef Maristani</t>
  </si>
  <si>
    <t>ñías fixas de artilleros de guarnición de Santander, Vigo y Ciudad-Rodrigo á los sargentos primeros D. Josef Maristani, del primer regimiento del real cuerpo de Artillería, y D. Antonio González y D. Manuel Ríos, del quarto regimiento. El Rey, atendiendo á los dilatados y distinguidos servicios de</t>
  </si>
  <si>
    <t>Josef Marmol</t>
  </si>
  <si>
    <t>os caciques que se expresaran, hoy 29 de diciembre de 180(T, conducidos t como los anteriores y por D. Josef Marmol y D. Martin de la Calleja, que lo presenciaron. Epugner, Errepuento y Turuñamquu, caciques, capitanes principales de Pitulquen, Valdivia y Chile en la costa del cabo de Hornos, con no</t>
  </si>
  <si>
    <t>Josef Marquina Galindo</t>
  </si>
  <si>
    <t>UM. IDIBUS OCTOBRIS ANN. MDCGCVII. MadridjS de diciembre* En atención a! mérito y servicios del Sr. D. Josef Marquina Galindo, ministro del consejo Real, se ha servido el Ruy concederle honores de la cámara. . , También se ha servido S. M. nombrar para el corregimiento de esta villa de Madrid al Sr. D. P</t>
  </si>
  <si>
    <t>Josef Martín Saravia</t>
  </si>
  <si>
    <t>años, y por vía de ensayo, en la villa de Villamayor de Galatrava, territorio de la misma orden, á D. Josef Martin Saravia; y para la vara de alcalde mayor de la villa de Cilleros, territorio de la árdea de Alcántara, á D. Luis Santiago Guerrero. VENTA JUDICIAL. Habiéndose hecho postura á la casa corr</t>
  </si>
  <si>
    <t>Josef Martínez</t>
  </si>
  <si>
    <t>Josef Blanco , D. Josef Vargas y D. Antonio Adorno; á Subtenientes de granaderos á tos de fusileros D. Josef Martínez y D. Juan Cetina; á Subtenientes de compañía á los de bandera D. Josef Calderón, Don Ramón Ponce, D. Cayetano Barana y D. JuánGalan, y á D. Josef Pereyra y D. Josef Carrion,vecinos de</t>
  </si>
  <si>
    <t>$2$ fue ganado por los caballeros seminarista mayor D. Manuel Fernandez , los ge fes de sala D. Josef Martínez, D. Antero Henriquez Calderón, I&gt;. Alejandro Lagoa y D. Manuel de la Cámara: ios gefes de trozo D. Manuel Ferrando , D. Josef Fernandez, D. Carlos Van-Zoelen, D. Sebastian Fernand</t>
  </si>
  <si>
    <t>de donde salió, continuando su viage, el dia 9 muy de madrugada. _ ESPAÑA. Taragoza 4 de noviembre. D. Josef Martínez , cirujano de esta ciudad, empezó á practicar la operación de la vacuna en el año de 1801, y desde entonces lleva vacunadas al pie de 1® personas de todas edades, sin haber visto</t>
  </si>
  <si>
    <t>Josef Martínez de Pinillos</t>
  </si>
  <si>
    <t>ndencia de la provincia del Paraguay, en el vireynato de Buenos Ayres, vacante por fallecimiento de D. Josef Martínez de Pinillos, á D. Pedro de Zomellera, abogado de aquella real audiencia. S. M., á consulta del real y supremo consejo de Castilla, se ha servido conceder á la villa de Fregenal de la Sierra c</t>
  </si>
  <si>
    <t>Josef Martínez Noguerol</t>
  </si>
  <si>
    <t>Juan Santiago y Llano: en el de León al Sargento primero de granaderos D. Tomas Luengo y al Cadete D. Josef Martínez Noguerol: en el de Astúrias al Sargento primero de granaderbs D. Luis Pimentel; y en el de Ultonia al Cadete SL Pedro Nolasco Burguera: en el del Principe Ayudantía al Teniente de</t>
  </si>
  <si>
    <t>Josef Martínez Suárez</t>
  </si>
  <si>
    <t>406 nació Ventara y D. Josef Martínez Suarez *. en el de Irlanda subtenencia de bandera al sargento primero D. Francisco Carmelet: en el de Zaragoza tenencia al subteniente D. Eugenio Godos; y en el de las Ordenes Militares</t>
  </si>
  <si>
    <t>Josef Martínez, Gabriel</t>
  </si>
  <si>
    <t>Gabriel Josef Martínez</t>
  </si>
  <si>
    <t>ada. Quien quisiere hacer mejora lo exccutará por la escribanía de la misma comisión, que desempeña D. Gabriel Josef Martínez. Por providencia de D. Pedro Cruselias, subdelegado para la venta de bienes eclesiásticos en la diócesi de Zaragoza, se ha mandado sacar á pública subasta «na heredad en huerta si</t>
  </si>
  <si>
    <t>«. Quien quisiere hacer postura lo executará por la e&amp;crfbanía&lt;de la misipa comisión, que desempeña D. Gabriel Josef Martínez. Por providencia de D. Joaquín Campas, subdelegado para la venta de bienes eclesiásticos en la diócesi de Zaragoza, se ha mandado sacar á pública subasta tina, heredad de 49 cahíc</t>
  </si>
  <si>
    <t>Josef Mata Linares</t>
  </si>
  <si>
    <t>Sermo. Sr. Príncipe Generalísimo Almirante el dia 5 del corriente, presidida por su director el Sr. D. Josef Mata Linares, abriendo este la sesión con un eloqíiente discurso, en que demostró la importancia de los trabajos del cuerpo. Don Luis Llanos, censor, en el elogio del Rey manifestó la particul</t>
  </si>
  <si>
    <t>Josef Mateo López</t>
  </si>
  <si>
    <t>de Cuenca, vacante por ascenso de D. Pedro Vicente Yañez á otra de la metropolitana de Valencia, á D. Josef Mateo López, canónigo doctoral de la catedral de Segovia ; y para la canongía de la de Sigiienza, vacante por aseen o de D. Manuel Estéban de Alcalá á la dignidad de deán de la dé Tarazona ,</t>
  </si>
  <si>
    <t>Josef Menendez, Juan</t>
  </si>
  <si>
    <t>Juan Josef Menendez</t>
  </si>
  <si>
    <t>os D. Francisco de Paula Colom y Osorio, D. Juan de la Piedra, D. Vicente Fernandez de la Pradilla ,D. Juan Josef Menendez y D. Alexo Rubalcava en un plano del arrecife, que desde esta ciudad parte á la de Xerez, levantado por dichos jóvenes con tanto esmero, que merecieron los aplausos del concurso, y qu</t>
  </si>
  <si>
    <t>Josef Mes</t>
  </si>
  <si>
    <t>ó et primer maestro Don Cayetano Fernandez VillamiL Fueron examinados en aritmética D. Manuel Royo, D. Josef Mes, D. Bernardo Becerra, D.Josef Carrero, D. Ramón Eiroa, D. Ramón Suazo, D. Antonio Valentín Díaz, D. Josef Hordavidalnz, D. Lorenzo Cedrón, D. JuanPefundely D. Manuel Elizaicin. En</t>
  </si>
  <si>
    <t>Josef Mesía, Pedro</t>
  </si>
  <si>
    <t>Pedro Josef Mesía</t>
  </si>
  <si>
    <t>El Rey se ha servido nombrar para el deanato de la catedral de Quito, vacante por fallecimiento de D. Pedro Josef Mesía»á Don Joaquín de Sotomayor y Unda: para el arcedianato que este dexa al chantre D. Maximiliano Coronel: para la chantría á D. Miguel de Unda y Lema, Maestrescuela: para la maestre</t>
  </si>
  <si>
    <t>Josef Mi</t>
  </si>
  <si>
    <t>férez al portaguión D. Cayetano Maturana. El dia 9 de noviembre, á las 10 de la mañana, principiará D. Josef Mi</t>
  </si>
  <si>
    <t>Josef Míaguet</t>
  </si>
  <si>
    <t>Barrachina para un beneficio de la parroquial de Xerica, diócesi de Segarte, vacante por muerte de D. Josef Míaguet. . ■ , El Rey se ha servido conferir el empleo de segundo ayudante mayor en el regimiento de reales guardias Valonas al Alférez D. Josef Ramírez de Arellano. S. M. se ha servido c</t>
  </si>
  <si>
    <t>Josef Mier y Salcedo</t>
  </si>
  <si>
    <t>de Castellón de la Plana i. D. Francisco Sociats y Soler,. Igualmente ha venido el rey en nombrar á D. Josef Mier y Salcedo para una plaza nuevamente creada de alcalde de la quadra de la real audiencia de Grados de Sevilla.' En América. El rey se ha seívido nombrar para la canongía lectoral, vacante en</t>
  </si>
  <si>
    <t>Josef Miguel Alea</t>
  </si>
  <si>
    <t>ciones ideológicas sobre la capacidad de los sordo-mudos para las ideas abstractas y generales, por D. Josef Miguel Alea, encargado de ia parte cicr tífica, y de la inspección de la enseñanza del real colegio de sordo-mudos de esta corte, individuo de la comisión pestaiozziar.a &amp;c. El espíritu de an</t>
  </si>
  <si>
    <t>Josef Miguel de Castro</t>
  </si>
  <si>
    <t>D. Vicente Anastasio de Isasmendi, magistral de la iglesia del Tncuman: para la primera cancngía.á D. Josef Miguel de Castro, cura en el obis. pado del Tucoman, y para la segunda á D. Pedro Aran y Morales, emigrado de la isla de S^mo Domingo, y cura que fue en ella; y para una media-ración de la metropo</t>
  </si>
  <si>
    <t>Josef Miranda</t>
  </si>
  <si>
    <t>y f Oficiales entre muertos y heridos; y nuestros de la misma clase sotos 180 , el Alférez de Navio D. Josef Miranda herido eti una mano, y el Alférez del Exército del Imperio Francés* mi Edecán , D. Juan Bautista Eantin , una pierna rota*. El fuerte tenia 35 cañones montados y 4 morteros: los f</t>
  </si>
  <si>
    <t>Josef Miret</t>
  </si>
  <si>
    <t>l empleo de ayudante mayor de la brigada de artilleros veteranos del departamento de Puerto- Rico á D. Josef Miret: para los de capitanes de las compañías fixas de artilleros veteranos del departamento de la Havana á D. Francisco Palmes, D. Jr-s'ef Cabrera y D. Ignacio Salens /capitanes segund</t>
  </si>
  <si>
    <t>Josef Moldes</t>
  </si>
  <si>
    <t>r Don Antonio Pascual; á subrigadier al cadete D. DiegoPerosa; á cadete de número al supernumerario D. Josef Moldes , y á supernumerario al'guardia D. Josef Gasqiie. • El rey se ha servido conferir compañía en el regimiento de infantería de voluntarios de Estado al ayudante, graduado de capitán</t>
  </si>
  <si>
    <t>Josef Molina</t>
  </si>
  <si>
    <t>ión del departamento de Canarias se ha servido S. M. nombrar al capitán segundo de la misma brigada D. Josef Molina. En America. El rey se ha servido conferir á D. Maonel Salcedo, capitán del batallón de infantería de Canarias, el gobierno militar y político de la provincia de Tejas , una de la</t>
  </si>
  <si>
    <t>Josef Montemayor</t>
  </si>
  <si>
    <t>eros, D. Atanasio Domínguez, y al sargento primero D. Joaquín Marín. El rey se ha dignado nombrar á D. Josef Montemayor, juez de la audiencia de Grados de la ciudad de Sevilla, para la plaza de juez civil de la ciudad de Cádiz: á D. Clemente de Campos, intendente de la provincia de la Mancha , para</t>
  </si>
  <si>
    <t>Josef Montes</t>
  </si>
  <si>
    <t>tano Fernandez Villamil. Fueron examinados en aritmética D. Ramón Covian, D. Antonio Ruftao Blanco, D. Josef Montes , D. Josef Luanco, D. Matías Espantoso» D. Andrés González Diez, D. Gaspar de Soto y Parga, D. Ramón Abad» D. Josef Jenér, D. Angel Selisis Palomo , D. Francisco Xavier Rivadulla</t>
  </si>
  <si>
    <t>Josef Mor de Fuentes</t>
  </si>
  <si>
    <t>e los preparativos, las circunstancias principales, y el éxito feliz de aquel suceso memorable, por D. Josef Mor de Fuentes. Se hallará á 2 rs. en la librería de Castillo, frente á las gradas de S. Felipe, y en la de Perez. calle de las Carretas. Cartas de Filomena á Progne, y de Calipso á Telémaco: so</t>
  </si>
  <si>
    <t>Josef Morales</t>
  </si>
  <si>
    <t>ente de granaderos D. Francisco Angel Aparicio; y en eL de América Subtenencia de bandera al Cadete D. Josef Morales. El Serenísimo Sr. Príncipe Generalísimo Almirante se sirvió dirigir al Capitán general de Cataluña el oficio que sigue: „ Excmo. Sr. Quando me remitió D. Josef Pablo Ballot su pl</t>
  </si>
  <si>
    <t>Leandro Moran, han merecido él primer premio, en la clase de lectura, D. Antonio Quadros,el segundo D. Josef Morales: en la de escritura D. Marcelino Junquera el primero , D. Joaquín Dolzel segundo: en igual escuela de primeras letras, del cargo de D. Celestino Mendoza, el primer premio en la cl</t>
  </si>
  <si>
    <t>Josef Moreno</t>
  </si>
  <si>
    <t>s D. Benigno Morales,y al de fusileros Don Josef Perez; á subteniente de granaderos al de fusileros D. Josef Moreno, y á subtenientes de bandera i los cadetes D. Manuel Cañedo y D. Mariano Quevedo, y al sargento primero de granaderos D. Vicente Jaure. REALES COLEGIOS DE CIRUGIA. El curso de cir</t>
  </si>
  <si>
    <t>Josef Moreno Martínez</t>
  </si>
  <si>
    <t>r medios años. Los pretendientes podrán dirigirse á los Sres. patronos, vecinos de dicha villa, ó á D. Josef Moreno Martínez, contador honorario de exército, y gefe de mesa de la tesorería general en Madrid; en el concepto de que los seglares que aspiren á dicho magisterio han de ser maestros aprobados.</t>
  </si>
  <si>
    <t>Josef Muñoz de Pando</t>
  </si>
  <si>
    <t>con qualesquier representación fueren acreedores á los bienes de dicho concurso, y principalmente á D. Josef Muñoz de Pando, D. Felipe_ Carrasquedo, D. Casimiro Osorio, D. Josef de Torres, D. Mauricio del Valle, D. Severino de Salazar, Doña Josefa Zurariain,D.Francisco del Valle, D. Francisco Fernandez</t>
  </si>
  <si>
    <t>Josef Muñoz, Pedro</t>
  </si>
  <si>
    <t>Pedro Josef Muñoz</t>
  </si>
  <si>
    <t>a servido el Rey promover á capitán al ayudante D. Francisco García Briugas; á ayudante al teniente D. Pedro Josef Muñoz ; á teniente aí alférez D. Josef Joaquín Paez; á alférez al portaguión D. Pedro Antonio Muñoz; y á portaguión al sargento D. Francisco Montero. En los dias 3 y 4 del pasado se pre</t>
  </si>
  <si>
    <t>Josef Natfarfete</t>
  </si>
  <si>
    <t>icin. En geometría especulativa D. Josef Genaro Ghapley D;* Ildefonso Pozb, Don Joaquín Verástegui, D. Josef Natfarfete , Dr Joaquín Fernandez Fragua* y los dichos Royo, Mes, Becerra* Carrero y Eirea. En geometría práctica D. Josef Demblans y los citados Fragua, Ghaple, Pozo , Verástegui y Navarret</t>
  </si>
  <si>
    <t>Josef Nicolás Chacón</t>
  </si>
  <si>
    <t>eyna Tenencia al Subteniente de granaderos D. Josef Erenas, y Subtenencias de bandera á los Cadetes D. Josef Nicolás Chacón y D. Pedro Benavides; y en el de Toledo Subtenencia de bandera al Cadete D. Eugenio Neyra. En el Regimiento de infantería del Príncipe se ha servido el Rey conferir Compañías ¿i los C</t>
  </si>
  <si>
    <t>Josef Ordavidcluz</t>
  </si>
  <si>
    <t>sis Palomo , D. Francisco Xavier Rivadulla y D. Gregorio Calderón y Durango: en geometría elemental D. Josef Ordavidcluz, D. Manuel Cedrón, D. Antonio Valentín Diez, D. Josef Blan*? co Atidrade, D, Juan Perfume, D. Ramón Zuazo y el referido Soto y Parga: eri geometría práctica D. Josef Carrero, D. M</t>
  </si>
  <si>
    <t>Josef Ortiz</t>
  </si>
  <si>
    <t>erra con la Francia 55,646™:» léase en 1804, 5,646™^ Viage arquitectónico-antiquarío de España: por D. Josef Ortiz, presbítero * individuo de varias academias, y bibliotecario de S. M. Tomo i.°: comiede la des? cripcion latino-española del teatro saguntino, con las láminas de planta, alzado y</t>
  </si>
  <si>
    <t>Josef Otero Qaevedo, Manuel</t>
  </si>
  <si>
    <t>Manuel Josef Otero Qaevedo</t>
  </si>
  <si>
    <t>to de este año D. Pedro Nolasco Sánchez Morongo de la canongía doctoral de la catedral de Toledo, á D. Manuel Josef Otero Qaevedo, canónigo de la de Orense: para la ración de la miaña catedral de Vailadolid, que asimismo obtenía el referido D. Pedro Nolasco Sánchez Morongo, á Don Cárlos de Valdecañas, cura d</t>
  </si>
  <si>
    <t>Josef Pablo Ballot</t>
  </si>
  <si>
    <t>e sirvió dirigir al Capitán general de Cataluña el oficio que sigue: „ Excmo. Sr. Quando me remitió D. Josef Pablo Ballot su plan de edncacion, ó método para aprender la lengua latina sin las reglas del arte, le manifesté, con fecha de 28 de Setiembre del año pasado, el aprecio que hacia de su esméro</t>
  </si>
  <si>
    <t>Josef Pacheco</t>
  </si>
  <si>
    <t>Príncipe de Maserano, embaxador de España, presentó á SS. MM. al conde de Haro, grande de España; á D. Josef Pacheco, coronel al servicio de S. M. católica; á D. Andrés Pacheco, todos tres hijos del Excmo. Sr. Duque de Frías; y á Mr. de Fita, caballero de embaxada. Escriben de Turin que el 2 del</t>
  </si>
  <si>
    <t>Josef Palomares, Manuel</t>
  </si>
  <si>
    <t>Manuel Josef Palomares</t>
  </si>
  <si>
    <t>quia de Sta. María de aquella ciudad: para una ración de la catedral de Jaén, vacante por muerte de D. Manuel Josef Palomares, á D. Juan de Céspedes: para el priorato de la iglesia imperial de Sta. María de Palacio de Logroño, diócesi de Calahorra, vacante por fallecimiento de D. Vicente González Alvaro,</t>
  </si>
  <si>
    <t>Josef Pastor</t>
  </si>
  <si>
    <t>portaestandarte al cadete D. Asensio Hernández: en el de dragones de Almansa ayudantía al teniente D. Josef Pastor; y en el de Pavía tenencia al alférez D. Ventura Rieseo. En América. El rey se ha servido nombrar para una ración vacante en la catedral de Durango, por fallecimiento de D. Fernan</t>
  </si>
  <si>
    <t>Josef Paz y Montañez</t>
  </si>
  <si>
    <t>servido conferir en el regimiento dé infantería dé Tole docompañía ai teniente graduado de capitán D. Josef Paz y Montañez: en el de América tenencias á los subtenientes D. Juan Bilbao y D. Manuel Basanta : en él de Soria tenencia al subteniente de granaderos D. Gregorio Espinosa, y subtenencias de ba</t>
  </si>
  <si>
    <t>Josef Pejoan</t>
  </si>
  <si>
    <t>cante por promoción de D. Bernardo Sánchez Hidalgo á una capellanía real de la ciudad de Borja; y á D. Josef Pejoan para un beneficio de la parroquia de S. Miguel de la vijla de Cardona, diócesi de Solsona, vacante por promoción de D. Toma» Ribo á la dignidad de chantre de la catedral de Solson</t>
  </si>
  <si>
    <t>Josef Pereyra</t>
  </si>
  <si>
    <t>ompañía á los de bandera D. Josef Calderón, Don Ramón Ponce, D. Cayetano Barana y D. JuánGalan, y á D. Josef Pereyra y D. Josef Carrion,vecinos de la demarcación del regimiento;y á Subtenientes de bandera á los Cadetes D. Miguel Diez de Bonilla, D. Josef Francisco Delgado y D. Carlos Abala y Varela,</t>
  </si>
  <si>
    <t>Josef Pérez</t>
  </si>
  <si>
    <t>nte D. Antonio Hosta; á tenientes si subteniente de granaderos D. Benigno Morales,y al de fusileros Don Josef Perez; á subteniente de granaderos al de fusileros D. Josef Moreno, y á subtenientes de bandera i los cadetes D. Manuel Cañedo y D. Mariano Quevedo, y al sargento primero de granaderos</t>
  </si>
  <si>
    <t>Josef Pérez Bermejo</t>
  </si>
  <si>
    <t>de Caxamarca al de fusileros Don Santiago Santisteban; á tenientes de fusileros á los subtenientes D. Josef Perez Bermejo, D. Nicolás de Vargas y D. Pedro Mendoza; á subteniente de fusileros al sargento prlnero D. jacinto S'alazar, y de bandera á Don Juan Ventura Salazar, también sargento primero^ y</t>
  </si>
  <si>
    <t>Josef Pérez de Rozas</t>
  </si>
  <si>
    <t>Palancar, provincia de Cuenca&gt; 1.a de mayo. Deseando esta, villa,, á propuesta de su alcalde mayor D. Josef Perez de Rozas, concurrir al común aplauso de la exaltación del Sermo. Sr. Príncipe de la Pac á la dignidad de Almirante de España é Indias, y perpetuar la memoria de este suceso con otra propia</t>
  </si>
  <si>
    <t>Josef Pinera</t>
  </si>
  <si>
    <t>Moreno, y á Subtenientes de bandera al Cadete IX Jo¿ef Barranco y al Sargento primero de granaderos D. Josef Pinera.. .* 1 En el regimiento de dragones provinciales de S. Cárl $, en el reynode Nueva-España, se ha servido el Rey pro:nover A Teniente Coronel al Capitán D. Ramón Ce val los; á Capi</t>
  </si>
  <si>
    <t>Josef Piqueras Gómez</t>
  </si>
  <si>
    <t>ionados siguientes: &lt;•' ' , En Alicante.......... D. Juan Casou y compañía. En Avila......... ,.... D. Josef Piqueras Gómez. En Badajoz,........ D. Francisco Fernandez de la Peña y S. Miguel. En Barcelona....... D. Ramón de Llordella é hijo. En Burgos............. D. Andrés Frayle. En Cádiz............</t>
  </si>
  <si>
    <t>........ D. Mariano Melgosa. En Alicante......... D. Juan Gasou y compañía. En Avila............... D. Josef Piqueras Gómez. En Badajoz*........ D. Francisco Fernandez de la Peña y S. Miguel* En Barcelona...... . D. Ramón de Llordelia é hijo. En Burgos........... D. Andrés Frayle. En Cádiz.............</t>
  </si>
  <si>
    <t>Josef Piqueras- Gómez</t>
  </si>
  <si>
    <t>e.........D. Mariano Melgosa. En Alicante..........D. Juan Casou y compañía. En. Avila............. D. Josef Piqueras- Gómez. En Badajoz......... D. Francisco Fernandez' de la Peña y S. Miguela En. Barcelona....... D. Ramón de Llordella é hijo.En Burgos........... D. Andrés Frayle: En Cádiz.............</t>
  </si>
  <si>
    <t>Josef Pizzorni</t>
  </si>
  <si>
    <t>batallón de voluntarios de Gerona se ha servido el Rey promover á subteniente de bandera at cadete D. Josef Pizzorni. S. M. se ha servido nombrar para la cznongía de la catedfai de Méiiorca á D. Miguel Alimundó y Flaquer, capellán de exército agregado al espiado mayor de la plaza de Mahon, vacan</t>
  </si>
  <si>
    <t>Josef Ponce</t>
  </si>
  <si>
    <t>tido D. Henrique Hernández , nombrado para ella en decreto de 6 de Julio del año próximo pasado , á D. Josef Ponce, Presbítero. ——■ ■■ "■ " 1 ■■ 1 ■ III 1)1 i I " I .......................... I —■ ■■ ' II» ■ ' I II——■ Continuación, del origen de las medidas lineales de España* El Dr. Juan Gine</t>
  </si>
  <si>
    <t>Josef Ponce de León</t>
  </si>
  <si>
    <t>e hallará á 4 rs. en la librería de Gómez Fuentenebro, calle de las Carretas. Fisiología química de D. Josef Ponce de León: obra original y primera de su especie en España, en la que se explican las funciones del cuerpo humano por las propiedades de los principios que lo constituyen, sin recurrir á si</t>
  </si>
  <si>
    <t>Josef Portes y Puig</t>
  </si>
  <si>
    <t>de comisión del Intendente general del exército y provincia de Extremadura» por el juzgado del Líe. D. Josef Portes y Puig, y escribanía de Don Tiburcio Pardo, se subasta por arriendo la Encomienda de la villa de Almendrado, incorporada á la Corona, y que en la actualidad se administra por la Comisión</t>
  </si>
  <si>
    <t>Josef Posadas</t>
  </si>
  <si>
    <t>l de Navio D. Juan Angel de Michiíeñay D. Joaquín Ruiz,él Teniente dé Fragata D. Cándido la Sala, y D. Josef Posadas, los Alféreces de Navio D. Benito Correa, D. Manuel de la Iglesia , D. Joaquín Toledo y D. Josef Miranda, y el de Fragata D. Federico la Cosle noche fué malísima. La tropa la pasd</t>
  </si>
  <si>
    <t>nero, con el capitán de fragata Don Juan Angel Michelena, los tenientes de navio D. Gandido Lasala, D. Josef Posadas y D. Jacinto Romárate; los de fragata D. Manuel Iglesias, D. Benito Correa, D. Domingo Allende y D. Josef Miranda; los alféreces de navio D. Federico Lados y D. Jacinto Butler, y los</t>
  </si>
  <si>
    <t>Josef Prudencio Vaquero</t>
  </si>
  <si>
    <t>rau; y para el préstamo de la villa de Salmeronciüos en la diócesi de Cuenca, vacante por muerte de D. Josef Prudencio Vaquero, á D. Dionisio de la Guerra. £1 rey se ha servido conceder en el regimiento de infantería de Cantabria subtenencia de bandera al cadete D. Francisco Sedaño. Ea el regimiento de ca</t>
  </si>
  <si>
    <t>Josef Puyol</t>
  </si>
  <si>
    <t>imiento; de infantería de Zaragoza se ha servido el rey promover á subteniente de bandera'ál cadete D. Josef Puyol: á segundo ayudante en el segundo batallón de voluntarios de Cataluña al teniente D. Antonio Hernández de Pont ; y en el regimiento de infantería de las Ordenes Militares subtenen</t>
  </si>
  <si>
    <t>Josef Qtiirogá</t>
  </si>
  <si>
    <t>e navio á los de fragata D. Josef dejCórdoba y Rúxás ? Di Cándido. de la Sala, D. ¡Josef de Posada, D. Josef Qtiirogá y; De Jacinto Ro«•xnarate: d tementes, de fragata 1 los alféreces, de, navio D.) Manuel de la Iglesia, D. Benito ¡Correa, Di Bruna Es candon,D. Francisco Pare ja, D. Joref de Mirand</t>
  </si>
  <si>
    <t>Josef Quintana, Manuel</t>
  </si>
  <si>
    <t>Manuel Josef Quintana</t>
  </si>
  <si>
    <t>ría Bourdaiseau, que vive en dicha ciudad, calle del Pozo. IIBROS. Vidas de españoles célebres, por D. Manuel Josef Quintana: un tomo en B.6 mayor. Contiene las vidas del Cid ,de Guzman el Bueno, deRoger de Lauria, del Príncipe de Viana y del Gran Capitán, según las noticias que han^dexado de estos pers</t>
  </si>
  <si>
    <t>Josef Quiroga Rorniol</t>
  </si>
  <si>
    <t>, dignidad de la catedral de Lugo, vacante por fallecimiento de D. Juan Sarmiento de Rivadeneyra, i D. Josef Quiroga Rorniol: para la Canongíaiectoral de escritura de la colegial de Baza , diócesis de Guadix, vacante por muerte de D. Antonio Facundo Quevedo, á D. Pedro Antonio Egaia : para el Beneficio</t>
  </si>
  <si>
    <t>Josef Rafael Lavarrieta</t>
  </si>
  <si>
    <t>mbrar para una ración vacante en la catedral de Durango, por fallecimiento de D. Fernando Cortes, á D. Josef Rafael Lavarrieta; y para la media- ración que dexa á D. Pedro Millan, cura del pueblo de Canatlan, en aquel obispado. S. M. se ha servido nombrar para el empleo de teniente de rey de la plaza de S</t>
  </si>
  <si>
    <t>Josef Rafael Rodrigue</t>
  </si>
  <si>
    <t>te de D. Diego Vídanrre, á D. Josef Rafael Rodrigue* , cura de la Caridad de dicha ciudad de Comayagua; y para dos medias-raciones de la de Guadalaxara, vacantes por ascenso de D. Josef Manuel Sanmartín y D. Josef Uazueta, á D. Ign</t>
  </si>
  <si>
    <t>Josef Ramírez de Arellano</t>
  </si>
  <si>
    <t>conferir el empleo de segundo ayudante mayor en el regimiento de reales guardias Valonas al Alférez D. Josef Ramírez de Arellano. S. M. se ha servido conceder subtenencias de bandera en el regimiento de infantería del Príncipe y en el batallón de voluntarios de Barbastro á los sargentos primeros D. Santiago</t>
  </si>
  <si>
    <t>Josef Ramón</t>
  </si>
  <si>
    <t>5 fanegas de cacao á la consignación de Don Josef Agustín de Lascurain, y otra de 8 fanegas á la de D. Josef Ramón; y no habiendo ocurrido á recogerlas, se hace saber para que dichos interesados por sí, ó por personas suficientemente autorizadas, acudan á D. Miguel.Tomas-de Archeverroa, vecino</t>
  </si>
  <si>
    <t>Josef Ramón Barrera</t>
  </si>
  <si>
    <t>ximiliano Martinez , D. Teodoro Guevara , y al soldado ommguido D. Manuel Nieto; y á Portaguiones á D. Josef Ramón Barrera, D. Pablo Costales, D. Juaif de Mata Soberrón y D. Manuél Osores, los quatro últimos soldados distinguidos del mismo cuerpo; y.á subteniente veterano y comandante de la partida de</t>
  </si>
  <si>
    <t>Josef Rebollo y Modales</t>
  </si>
  <si>
    <t>compuesto en francés por S. F. lacroix , miembro d i instituto nacional de Francia, y traducido por D. Josef Rebollo y Modales, catedrático de los caballeros pages de S. M.: tomo i.®, que contiene la aritmética. Esta obra es mirada por todos los inteligentes, no solo como la mas completa y metódica de qua</t>
  </si>
  <si>
    <t>Josef Ribas y Pérez</t>
  </si>
  <si>
    <t>e Perez, calle de las Carretas. Antorcha de colmeneros ó tratado económico de abejas, compuesto por Don Josef Ribas y Perez. Esta obrita, tan apreciable por su objeto de utilidad pública, lo es tanto mas por haber contribuido á su formación la experiencia, por cuya razón sale libre de los muchos errore</t>
  </si>
  <si>
    <t>Josef Ribelles</t>
  </si>
  <si>
    <t>Señor Príncipe de la Paz, Generalísimo y Grande Almirante de España é Indias. Estampa dibuxada por D. Josef Ribelles, y grabada por D. Tomas López Enguídanos, grabador de cámara de S. M., en la qual se ve á S. A. á caballo y en una de las actitudes mas correspondientes. Esta estampa hace juego,</t>
  </si>
  <si>
    <t>Josef Ribera</t>
  </si>
  <si>
    <t>ornos son mas tardíos: D. Domingo Barrafon sobre qué es lo que constituye la riqueza de una nación: D. Josef Ribera de los auxilios que mutuamente se prestan la agricultura y el comercio; y D. Tomas Polo sobre si es cierto que una contribución cargada á un ramo qualquiera se reparte con el transcurso</t>
  </si>
  <si>
    <t>Josef Rico</t>
  </si>
  <si>
    <t>ga, eh medio pliego de marca, copiado del original que existe en Roma, hecho en vida del santo, por D. Josef Rico. —¿ Otra estampa dei mismo autor, que reprtsenta á S. Antonio de Padua, en quartiila de marquilla, copiada de un bello original de Murilio. Se hallarán en la librería de Escribano</t>
  </si>
  <si>
    <t>Josef Rivas</t>
  </si>
  <si>
    <t>res, que acometieron por todas las entradas de este puesto : fue muerto en él él alférez de fragata D. Josef Rivas* y heridos los tenientes de navio D. Cándido Lasala, D. Antonio Leal de Ibarra, el de fragata D. Benito Correa, y el alférez de la misma clase D. Manuel Viüavicencio, y 5 oficiale</t>
  </si>
  <si>
    <t>Josef Rodríguez</t>
  </si>
  <si>
    <t>laxara compañía al Teniente, graduado deCapitan, D. JosefAn:oriio Pórtela ; Tenencia al Subteniente D. Josef Rodríguez. Pantiga, y Subtenencia de bandera al Cadete D. Pedro Fernandez de la Cuesta: en el de Granada Subtenencia de bandera al Cadete del”de la Corona D. LuiáRutes eñ él de Extremadura</t>
  </si>
  <si>
    <t>aristo Fernandez de San Miguel: en el regimiento de infantería del Príncipe tenencia al subteniente D. Josef Rodríguez; y en el de. Murcia subtenencia de bandera al cadete D. Juan Antonio de la Mata. Continuación de vistas del real monasterio de S. Lorenzo del Escorial, 7.a, 8.a y p.a, que represe</t>
  </si>
  <si>
    <t>Josef Rodríguez de Bastrin</t>
  </si>
  <si>
    <t>y de la Solana, juez privativo de ia. quiebra del Sr. Conde de Reparaz y sus incidencias, por ante D. Josef Rodríguez de Bastrin, escribano público dei número de- la ciudad de Cádiz, ante quien se actúan los autos de-dicha quiebra, se mandan; sacar á pública subasta, por término de 30 dias, 3 dehesas situad</t>
  </si>
  <si>
    <t>Josef Rodríguez Léon</t>
  </si>
  <si>
    <t>ftrá piano al mismo precio. Música militar nueva para las banclas de los regimientos, compuerta por D. Josef Rodríguez Léon, músico dé la‘real capilla de S. M.t 12 distintos quintetos, de 40 hasta 50 rs. cada ’uno:"boleras, valses, marchas regulares , oraciph, paso redoblado y polacas, á 30 rs. cada pi</t>
  </si>
  <si>
    <t>Josef Rodtfgo de Mena, Juan</t>
  </si>
  <si>
    <t>Juan Josef Rodtfgo de Mena</t>
  </si>
  <si>
    <t>de Hako y Castejon, en la diócesi de Cuenca, vacantes por muerte de D. Pedro Martínez de España, á D. Juan Josef Rodtfgo de Mena. r 11 s VENTAS JUDICIALES. Por providencia de D. Josef Jacinto Teruel , comisionado regio para la venta de bienes eclesiásticos : secularizados en la diócesi de Cartagena, se ha s</t>
  </si>
  <si>
    <t>Josef Romero Franchi</t>
  </si>
  <si>
    <t>bal Fernandez Serrano: para la capellanía real de la catedral de Canaria , vacante por promoción de D. Josef Romero Franchi á ración de la propia iglesia, á D. Gregorio Henriquez y Navarro, pro-eapellan dé coro y apuntador de la misma: para el beneficio residencial con capa de coro y silla alta de la c</t>
  </si>
  <si>
    <t>Josef Romero y Landa</t>
  </si>
  <si>
    <t>a 5 de agosto de este año falleció en esta corte, á los 72 años y 2 meses de su edad, el Excmo. Sr. D. Josef Romero y Landa, caballero del órdeu de Santiago, maestrante de Sevilla, y teniente general de la real ar</t>
  </si>
  <si>
    <t>Josef Romeu</t>
  </si>
  <si>
    <t>para una canongía de la catedral de Lérida, vacante por muerte de D. Buenaventura Guyu y Sisear: á D. Josef Romeu para un beneficio de la parroquial de la villa de la Grahadelia, diócesi de Lérida, vacante por renuncia de D. Francisco Rigal: á D. Pedro Piqué para un beneficio de la parroquial</t>
  </si>
  <si>
    <t>Josef Ruíz de Celada</t>
  </si>
  <si>
    <t>e^iribanía de esta subdelegado!], que desempeña D. Vicente la Fuente de Vclasco. Por providencia de D. Josef Ruíz de Celada, comisionado real para la venta: de bienes eclesiásticos en la diócesi de Zaragoza, se ha mandado sacar á pública subasta una torre llamada Ochar, de 43 cahíces de tierra, sita en</t>
  </si>
  <si>
    <t>Josef Ruiz de Porras</t>
  </si>
  <si>
    <t>y. S. M. se ha servido conceder tenencia en el regimiento de reales guardias de infantería Walona á D. Josef Ruiz de Porras, alférez de granaderos del mismo cuerpo. El rey se ha servido conceder subtenencias de bandera en el regimiento de infantería inmemorial del Rey al cadete D. Ramón Manzano; y en l</t>
  </si>
  <si>
    <t>Josef Sabatier</t>
  </si>
  <si>
    <t>Josef Chacón al primero, á D. Francisco Melgarejo al segundo. En la del mismo idioma, del cargo de D. Josef Sabatier, á D. Agustín Alvarez al primero, á D. Narciso Caries al segundo. En la de lengua inglesa, del cargo de D. TomasKaorney , á D. Rafael Sousa.al primero, á D* Cárlos Guernica al seg</t>
  </si>
  <si>
    <t>Josef Saborido</t>
  </si>
  <si>
    <t>Diaz, sargento mayor del de Calatrava: tenencias en el citado de la Reyna é Infante á los alféreces D. Josef Saborido, D. Sebastian de Torres y D. Ramón López: en el de Farnesio empleos de alférez á los portaestandartes D. Félix Ramos y D. Juan.Angel Díaz : en el de Algarbe compañía al ayudante,</t>
  </si>
  <si>
    <t>Josef Sala</t>
  </si>
  <si>
    <t>ócesi de Barcelona, y en virtud de auto del&lt;juex subdelegado del distrito de Villafránca de Panádés D. Josef Sala, alcalde mayor de esta villa, seisaca á pública subasta una heredad y casa molino harinero, llamado lo molí den Sal ser, que se compone de casa con su. molino harinero y apetos co</t>
  </si>
  <si>
    <t>Josef Salamanca, Juan</t>
  </si>
  <si>
    <t>Juan Josef Salamanca</t>
  </si>
  <si>
    <t>ía de provincia de D. Manuel López de Rivas. AvisoSe desea saber el paradero de Juan Josef Salamanca, hijo de D. Juan Lucas, sargento retirado de los reales batallones de marina, que se ausentó con su madre *3 años hace de la ciudad de Valencia. Quien supiere de él, avisará á D. Juan M</t>
  </si>
  <si>
    <t>Josef Salas</t>
  </si>
  <si>
    <t>aballcró pará ama .caiiongía diaconit &gt;*de da cateihr»l-'de LéAda^ v^ca-nte pt&gt;r : faUccimiento 4e &gt;D. Josef Salas y. Falces : á Dj Francisco^ Lorenzo Ximenéz -p3ta&gt;Qtrai§ubdiaco^il déla propia oaxédral y-vacante por ntubrte de D. Jacinto Mari* y á D. Juan Planas, sirvíéúte d.djcDro del monastej</t>
  </si>
  <si>
    <t>Josef Salazar</t>
  </si>
  <si>
    <t>eros En la de segundo año de matemáticas, dei cargo, en el presente curso, de D. Agustín de Sojo, á D. Josef Salazar al primero, y áD. Josef Chacón y D. Manuel Blanco al segundo. En la dé física experimental, del cargo del substituto D. Antonio Peña, se juzgó digno del primer premio á D. Diego M</t>
  </si>
  <si>
    <t>Josef Salomón</t>
  </si>
  <si>
    <t>el regimiento de infantería de Cantabria ayudantía al teniente de granaderos, graduado de capitán, D. Josef Salomón; y en el de Ultonia subtenencia de bandera ai cadete D. Pedro Mariano de Solas.</t>
  </si>
  <si>
    <t>Josef Salomón Fernández</t>
  </si>
  <si>
    <t>la calle Real de la villa de Vallecas. Si á alguna persona le acomodase podrá tratar de ajuste con D. Josef Salomón Fernández, procurador del número ere esta villa, que vive casa de la Vicaría vieja, quarto principaldetras de los consejos. Por providencia del real tribunal del consulado de Cádiz, de 19 d</t>
  </si>
  <si>
    <t>Josef Sánchez de Arce</t>
  </si>
  <si>
    <t>en 17© rs. Quien quisiere hacer postura lo executará por la escribanía de la comisión que desempeña D. Josef Sánchez de Arce. Por providencia de D. Manuel de la Plaza y barias, comisionado regio para la venta de bienes eclesiásticos secularizados en la diócesi de Albarracin, se ha señalado el día 23 del</t>
  </si>
  <si>
    <t>Josef Sánchez de Castro</t>
  </si>
  <si>
    <t>leo de guarda-almacén extraordinario de ardifería de la real fabrica de armas de chispa de Oviedo á D. Josef Sánchez de Castro. En couseqüencia de lo prevenido por este periódico en 17 del mes pa-: sado, en Ja mañana del 9 del corriente, en presencia de los dos señores secrétanos per S. M, de la real junt</t>
  </si>
  <si>
    <t>Josef Sanz</t>
  </si>
  <si>
    <t>Mariano de Espinosa, natural de Patencia, viudo de Doña María de Sanz y Labin, nombrado heredero de D, Josef Sanz , mercader en Santander, se servirá participarlo á D. Ramón de Baíleme, vecino y del comercio de dicha ciudad, ó á D. Juan Lavadi, en la misma. libros. Diccionario de medicina y c</t>
  </si>
  <si>
    <t>Josef Scnra y Parada</t>
  </si>
  <si>
    <t>de los placeres sensuales: obra escrita en francés por el célebre Tissot, traducida y aumentada por D. Josef Scnra y Parada, médico titular de la ciudad de Mondoñedo. Aunque no necesita otra recomendación que el nombre ríe su autor, sin embargo es preciso confesar que de quantos discursos publicó este</t>
  </si>
  <si>
    <t>Josef Sequera</t>
  </si>
  <si>
    <t>ervido conceder en el regimiento de infantería de Guadalaxara tenencia al subteniente de granaderos D. Josef Sequera, y subtenencia de bandera al sargento primero D. Antonio Aragón: en el de Granada subtenencia al cadete del de la Reyna D. Juan Fernandez Tello; y en el de Voluntarios de Estado t</t>
  </si>
  <si>
    <t>Josef Serrano</t>
  </si>
  <si>
    <t>la renta del tabaco, y el otro de 30© sobre carnicerías, tod© correspondiente á la testamentaría de D. Josef Serrano para pago de sus acreedores. Quien quisiere hacer postura, lo executará ante dicho señor, por la escribanía de D. Juan López Fando. avisos. Ante el Sr. D. Ramón de Pisón, del cons</t>
  </si>
  <si>
    <t>Josef Severo López</t>
  </si>
  <si>
    <t>han podido adquirir después. Como el autor de este diccionario es uno de los discípulos del célebre D. Josef Severo López, están formados los artículos de pa</t>
  </si>
  <si>
    <t>Josef Sobrevia</t>
  </si>
  <si>
    <t>inguida orden española de Carlos m, y director segundo de este real cuerpo, acompañado de los Dres. D. Josef Sobrevia, censor de la misma, y D. Pedro Valero, curador único de esta enseñanza, canónigos de la propia santa iglesia, y del secretario principal: asistiéron en calidad de examinadores lo</t>
  </si>
  <si>
    <t>Josef Soto</t>
  </si>
  <si>
    <t>av • . 13 6 '.'3'2. Joset' Soto............... de Josef ....... Granada...................... 1795 .. Licenc. 2'8 •.• 14· Josef Ugt!na ........... de Josef. .•..•.. Elche .............</t>
  </si>
  <si>
    <t>Josef Suárez</t>
  </si>
  <si>
    <t>1128 Hernández y D. Josef Suarez; y en c! de Caracas á D. Ignacio Alcázar y D. Agustín Rodríguez. En el regimiento de infantería de México s** ha servido el Rey promover á capitán de granaderos al de fu-ileros D.</t>
  </si>
  <si>
    <t>Josef Tagie y Velarde</t>
  </si>
  <si>
    <t>mate para el dia 25 del corriente. Por providencia del juez subdelegado del departamento de Almazan D. Josef Tagie y Velarde se están subastando 752 fanegas y 5 celemines de tierra de sembradura, sitas en su término, tasadas en 75,404 rs. Quien quisiere hacer postura comparezca e» la escribanía de dicha</t>
  </si>
  <si>
    <t>Josef Tigero</t>
  </si>
  <si>
    <t>os de dragones del Rey y Almansa se ha servido S. M. conceder empleos de alférez á ios portaguiones D. Josef Tigero y D. Domingo Pascual. £n América. El Rey se ha servido conceder grado de teniente coronel á D. Manuel Salcedo, gobernador militar y político de la provincia de Tejas. Accediendo el Se</t>
  </si>
  <si>
    <t>Josef Tomás de Zelaya</t>
  </si>
  <si>
    <t>audiencia de Puerto-Príncipe* en la isla de Cuba* vacante por promoción de D. Rafael de la Llave* á D. Josef Tomas de Zelaya, auditor de guerra que fue de la capitanía general de Guatemala; y para el corregimiento de Zipaquira, en el vireynato de Santa Fe, á D. Henriqne Umaña, abogado de les reales cons</t>
  </si>
  <si>
    <t>Josef Tomás Gameros</t>
  </si>
  <si>
    <t>Don Tomas Dardon y D. Josef Mariano Morales ; á teniente coronel del batallón de Olancho al capitán D. Josef Tomas Gameros; á capitán en el de Cartago al teniente de granaderos D. Salvador Oreamuno, á esta resulta al de fusileros D. Lorenzo Carazo; á tenientes de fusileros á los subtenientes D. Manuel</t>
  </si>
  <si>
    <t>Josef Trago</t>
  </si>
  <si>
    <t>el año de 1803 de dicha villa, desde donde se fue á Polan, provincia de Toledo, avisará en Madrid á D. Josef Trago, cirujano en la calle del Bonetillo, y en el Burgo de Osma á D. Bartolomé Ruiz , cirujano del cabildo. Se halla vacante la plaza de sangrador de la villa de Chozas de Canales, dis</t>
  </si>
  <si>
    <t>Josef Troytiño</t>
  </si>
  <si>
    <t>vido nombrar para la dignidad de chantre de la catedral de Sta. Marta, vacante por fallecimiento de D, Josef Troytiño, á D. Gregorio de la Bastida; y para la de tesorero que este obtenía á D. Josef Eulalio Ziosi, cura de aquel obispado: para una canongía de la de Valladoüd de Mechoacan, asimismo</t>
  </si>
  <si>
    <t>Josef Ucles</t>
  </si>
  <si>
    <t>sargento mayor D. Antonio Falques : en el de la Princesa compañía al ayudante, graduado de capitán, D. Josef Ucles; ayudantía al teniente de granaderos D. Josef Yarza Marín; tenencia al subteniente D. Juan Gamero, y subtenencia de bandera al sargento primero de granaderos D. Juan Caja!; y en e</t>
  </si>
  <si>
    <t>Josef Uncibay</t>
  </si>
  <si>
    <t>ngo Miguel Diez: para la ración de Antequera, en la diócesi de Málaga, vacante por fallecimiento de D. Josef Uncibay, á Don Francisco Duran y Villatoro, capellán provisional de la real armada; y para los beneficios simples de las parroquias de Villaesctisa de Hako y Castejon, en la diócesi de Cu</t>
  </si>
  <si>
    <t>Josef Urgullo</t>
  </si>
  <si>
    <t>los Cadetes D. Juan Josef de Noricga , Don Pedro de Vegas y D. Martin Palao, y al Sargento primero D. Josef Urgullo. Observaciones sobre la cosecha de aceyte que constantemente producen los olivos de la Alcudia de Veo en la sierra de Espalan; por D. Juan Sánchez Cisñerosy Vice- Secretario de la</t>
  </si>
  <si>
    <t>Josef Urquiaga</t>
  </si>
  <si>
    <t>ioS?3 lo», 2063 al de D. Pedro Gasamayof, y 20^4 al de'D. Josef Urquiaga. La persona en cuyo poder se hallasen, se servirá dirigirlas á Cádiz ó Sevilla á alguna de la« dos asas mencionadas, y en esta corte á D. Agustín de Goycoechca, del comer? $io, fr</t>
  </si>
  <si>
    <t>Josef Valcarcel</t>
  </si>
  <si>
    <t>os-Ayres D. Miguel Mariano Carrasco, y al artillero distinguido del tercer regimiento de artillería D. Josef Valcarcel.</t>
  </si>
  <si>
    <t>Josef Valdivia y Legovien</t>
  </si>
  <si>
    <t>y Vclarde, como tal decano, gobierne interinamente dicho tribunal. - S. M. se ha dignado nombrar á D. Josef Valdivia y Legovien. parafel corregimiento de capa y espada de las ciudades de Palma y Tenerife en las islas de Canarias: á D. Manuel Becerrii y Valero para la vara de alcalde mayor teniente segundo</t>
  </si>
  <si>
    <t>Josef Valentín de Araya</t>
  </si>
  <si>
    <t>la de S^mo Domingo, y cura que fue en ella; y para una media-ración de la metropolitana de Manila.á D. Josef Valentín de Araya, natural de aquellas islas, rector del colegio de $. Josef. La división de tropas españolas, que ha estado en el reyno de Etruria, no podía dexar de unirse á la expresión general</t>
  </si>
  <si>
    <t>Josef Valero</t>
  </si>
  <si>
    <t>cé:nC .. r . 96 ... Josef Valero ........... de Jaym.e ...... ValleJo en, Valencül•..•• 1797.: Llcenc. .,1:13"'3 1 •</t>
  </si>
  <si>
    <t>Josef Valle</t>
  </si>
  <si>
    <t>2AÓ ' ¿el primer año de matemáticas , del cargo de D. Josef Valle jo, en este curso se juzgó acreedores al primer premio á D. Josef Isla , D. Josef Cacho y D. Josef Alvarez; á D. Ramón Arce y D. Rafael Sousa al segundo , y i D. Mariano Ibañez al</t>
  </si>
  <si>
    <t>Josef Vargas</t>
  </si>
  <si>
    <t>s de granaderos D. Manuel de los Rros y D. Pedro de la Sota, y á los de fusileros D. Josef Blanco , D. Josef Vargas y D. Antonio Adorno; á Subtenientes de granaderos á tos de fusileros D. Josef Martínez y D. Juan Cetina; á Subtenientes de compañía á los de bandera D. Josef Calderón, Don Ramón Ponce</t>
  </si>
  <si>
    <t>Josef Vasco, Francisco</t>
  </si>
  <si>
    <t>Francisco Josef Vasco</t>
  </si>
  <si>
    <t>pie una compañía del regimiento provincial de esta ciudad----- A la noche je sirvió en casa del Sr. D. Francisco Josef Vasco , teniente de S. A-, un exquisito y abundante refresco-, al que concurrió la nobleza de ambos sexó_, cabildos,, comunidades y oficialidad, siguiéndose después orquesta y bayle has</t>
  </si>
  <si>
    <t>Josef Vázquez</t>
  </si>
  <si>
    <t>uadro original que pintó el caballero de Arpiñas , y grabada á puntos al estilo de Barto-v lozi por D. Josef Vázquez. Esta estampa, ademas de la bella composición que contiene el original, es sumamente expresiva y de devoción. Se hallará, con las demas del Ecce homo y Mater dolorosa de D. Bartol</t>
  </si>
  <si>
    <t>Josef Vhues</t>
  </si>
  <si>
    <t>de! pasado octubre en las casas del tribunal. La asistencia del caballero gober* nador el brigadier D. Josef Vhues, del vicario y diputados del venerable clero, de los reverendos prelados, de la oficialidad de la plaza1/y de otras muchas personas de distinción, que formaron un lucido.concurso/</t>
  </si>
  <si>
    <t>Josef Vicente Beltran</t>
  </si>
  <si>
    <t>Cueva, cura de aquel obispado: para la tercera á D. Juan Delgado; y para la ración que este dexa á D. Josef Vicente Beltran, conde de Sta. Rosa, cara asimismo de dscho obispado: para la primera ración á D. Josef Joaquín de Unzueta: para la seganda á D. Josef Manuel Samartin , ambos medios racioneros de</t>
  </si>
  <si>
    <t>Josef Vicente Campuzaoo</t>
  </si>
  <si>
    <t>rio Nieves: &amp; Subtenientes al Cadete D. Juan Nepomuceno Rabadan, á D. Josef María Maestre y Díaz, y D. Josef Vicente Campuzaoo: á Subteniente de bandera á D. Josef Francisco Maestre y Bedanos; y á Portaguión á D. Pedro de Castro, los quatro último.' vecino* de la jurisdicción dei mismo cuerpo. No habiendo</t>
  </si>
  <si>
    <t>Josef Vicente de Arricia</t>
  </si>
  <si>
    <t>ancha,, 2 p de., octubre. Corriendo el mes de junio del año de 1F05, el alcalde mayor de esta villa D. Josef Vicente de Arricia tuvo no ti ia de que en la de Yepes había algunos niños á quieres se acababa de hacer la inoculación de la vacuna. Con este motivo procuró por tod&lt; s los medios que pendían de su</t>
  </si>
  <si>
    <t>Josef Víctor Salcedo</t>
  </si>
  <si>
    <t>los subtenientes D. Manuel Martínez Malo, de granaderos, D. Henrique O-Neille , D. Juan de Bustos, D. Josef Víctor Salcedo, D. Josef del Rox, D. Luis Antonio Merlano y D. Manuel de Medina.; á subtenientes de granaderos á los de fusileros D. Josef Angel Velazquez y D. Josef María Merlano; á subteniente</t>
  </si>
  <si>
    <t>Josef Vidal</t>
  </si>
  <si>
    <t>Romaña; y el empleo de Capitán primero en el batallón de Voluntarios de Valencia ai primer Ayudante D. Josef Vidal. El Rey se ha servido conferir Compañía en el regimiento de infantería de Voluntarios de la Corona al Ayudante, graduado de Capitán, D. Nicolás Marín: Tenencia en el de Ñapóles al</t>
  </si>
  <si>
    <t>Josef Viedma</t>
  </si>
  <si>
    <t>e sintaxis, propiedad y prosodia, del cargo de D. Antonio Salas, D. Francisco Melgarejo el primero, D. Josef Viedma el segundo. En la de poética y retórica , del cargo de D. Demetrio Ortiz, D. Cárlos O-Reilly el primero y único premio. En la</t>
  </si>
  <si>
    <t>Josef Vilar</t>
  </si>
  <si>
    <t>y y Corrioi parfi un beneficio de la catedral de Gerona, vacante pór muer té'de D. Miguel’ Rós *. U D. Josef Vilar para otro beneficio1 dé la parrbquulde S. Pedro Pescador del obispado de Gerona? bacante por protfiócion de Di Josef Pasapera á otro de Blanes: á D. Martin Batlle y Jubiñá pafa ot</t>
  </si>
  <si>
    <t>Josef Vitales</t>
  </si>
  <si>
    <t>prohibiendo la extracción de sus primeras materias, y la introducción de manufacturas extrangeras: D Josef Vitales sobre la protección igual é imparcial que se debe tanto á la industria sustica, como á la urbana; pero ea caso de predilección, qual de las</t>
  </si>
  <si>
    <t>Josef ViUanuevá y Arévalo</t>
  </si>
  <si>
    <t>, á D. Pedro Pablo Beltran, alcalde del crimen mas antiguo de aquel tribunal; y para esta resulta á D. Josef ViUanuevá y Arévalo, substituto de la cátedra de derecho patrio de la universidad de Alcalá. En América. En el regimiento de infantería de Cartagena de Indias se ha dignadaS. M. promover á capitanes</t>
  </si>
  <si>
    <t>Josef Wirtz</t>
  </si>
  <si>
    <t>; á subteniente al cadete D Luis Schwanden ; y en el de Wimpflea á subteniente de bandera al cadete Don Josef Wirtz. S. M. se ha servido conferir compañías en los regimientos de dragones del Rey y Sagunto á los ayudantes D. Francisco Amijo y D. Josef Barrau, el primero graduado de capitán. En A</t>
  </si>
  <si>
    <t>Josef Xavier Ollcqui</t>
  </si>
  <si>
    <t>oncurso: los discípulos disertaron sobre los asantos que les fueron sorteados, á saber: en ei dia 7 D. Josef Xavier Ollcqui sobre el tiempo, modo y forma de ingerir, diferencias de esta operación, tomadas de las de los átboles, cotí consideración á la edad de estes, y al movimiento precoz ó tardío de s</t>
  </si>
  <si>
    <t>Josef Ximenez, Gabriel</t>
  </si>
  <si>
    <t>Gabriel Josef Ximenez</t>
  </si>
  <si>
    <t>moneda. S. M. ha resuelto quede sin efecto el permito que se dignó conceder en 2 de enero de 1801 á D. Gabriel Josef Ximenez , vecino de la villa del Corral de Almaguer, para rifar una hacienda, sita en la villa de la Fuente de Pedro Narro. Lo que de real orden se avisa al público para que los interesad</t>
  </si>
  <si>
    <t>Josef Ximeno</t>
  </si>
  <si>
    <t>luminadas. Colección de graciosos y divertidos caprichos y bamboches-, dibuxados y gra- \ bados por D. Josef Ximeno: primer quaderno de cinco estampas en quarto apaisadas. Se hallarán en la librería de Escribano, calle de las Carretas; en el puesto de targetas del valenciano, puerta del Sol; y</t>
  </si>
  <si>
    <t>Josef Ximsnez Morales, Gabriel</t>
  </si>
  <si>
    <t>Gabriel Josef Ximsnez Morales</t>
  </si>
  <si>
    <t>, que en virtud de comisión entiende en el juicio de concurso de acreedores formado á los bienes de D. Gabriel Josef Ximsnez Morales, abogado de les reales consejos, vecino del Corral de Almaguer, se cita, llama y emplaza, por término de 20, dias contados desde el 23 de noviembre próximo pasado, á todas las per</t>
  </si>
  <si>
    <t>Josef Yarza Marín</t>
  </si>
  <si>
    <t>cesa compañía al ayudante, graduado de capitán, D. Josef Ucles; ayudantía al teniente de granaderos D. Josef Yarza Marín; tenencia al subteniente D. Juan Gamero, y subtenencia de bandera al sargento primero de granaderos D. Juan Caja!; y en el de Hibernia tenencia al subteniente de granaderos D. Ped</t>
  </si>
  <si>
    <t>Josef Zambrano</t>
  </si>
  <si>
    <t>de los tres subtenientes que han seguido en el año próximo pasado la clase de los estudios sublimes D. Josef Zambrano, D. Antonio Sequera y D. Joaquín Villava; v á fin de dar á este acto la solemnidad y decoro propios de las elevadas ideas que se han tenido presentes por S. A. al tiempo de su ins</t>
  </si>
  <si>
    <t>Josef Zamora</t>
  </si>
  <si>
    <t>sargento primero, graduado de alférez, D. Miguel Romero; y en el de Lusrtania ayudantía al teniente D. Josef Zamora. El Rey se ha servido conferir, el gobierno .militar; y político de Castellón de la Plana al coronel D. Pedro Lobo y Arjoña, .gobernador de la plaza de Tarifa ; y el de la ciudad</t>
  </si>
  <si>
    <t>Josef Zelger</t>
  </si>
  <si>
    <t>o, y á teniente al subteniente D. Matías Rubel: en el dé Traxler á capitán primero al de granaderos D. Josef Zelger ; á capitán de granaderos al capitán segundo D. Francisco Bally, y á capitán segundo al teniente~de granaderos D. Francisco Zelger: en el de Betschart á subteniente al cadete D. A</t>
  </si>
  <si>
    <t>Josef Zoylo Tamayo</t>
  </si>
  <si>
    <t>, en el arzobispado de Burgos, vacante por haber contraido matrimonio D.Andrés Fernandez del Rio, á D. Josef Zoylo Tamayo, sacristán supernumerario de la capilla real de la calle del Tesoro de Madrid. El Rey se ha servido promover á mariscales de campo de sus exército* á ios brigadieres D. Juan Josef</t>
  </si>
  <si>
    <t>Josef'Igosa</t>
  </si>
  <si>
    <t>iorat, Francisco Masmitjá, José I' Sala, Simón Coll, Ramón Siques, Raymundo Pujadas, Ramón Tunosas, D. Josef'Igosa, Jayme Torruella y ManueLGosta. Finalmente se distribuyó una gratificación de 10 rs. á los demas alumnos para animar y estimular su aplicación. Después de adjudicados y distribuid</t>
  </si>
  <si>
    <t>Josef'María Jussué</t>
  </si>
  <si>
    <t>to de infantería de Soria, D. Manuel Entreambasaguas, D. Pedro Sánchez Pavón, D. Joaquín Gaidiano', D. Josef'María Jussué, D. Josef Baquedano, D. Ramón Posada, D. Josef Bretón , Don Eugenio de Zuloaga, D. Vicente Bassoco y D. Manuel de la Torre. Ganaron el premio extraordinario eje instrucción religi</t>
  </si>
  <si>
    <t>Joséf, Juan</t>
  </si>
  <si>
    <t>Juan Joséf</t>
  </si>
  <si>
    <t>de caballería del Cuzco se ha dignado el Rey promover á Teniente Coronel al graduado de caballería D. Juan Joséf d^ Gastañaga, Sargento mayor del mismo cuerpo; á Comandante de Esquadron al Capitán D. Andrés Qrdoñez; á Capitanes á los Tenientes D. Nicolás Servantes y D. Mateo González; á Ay u</t>
  </si>
  <si>
    <t>Josef, Pedro</t>
  </si>
  <si>
    <t>Pedro Josef</t>
  </si>
  <si>
    <t>eales Guardias Waionas; D. Eugenio de Loque, vice-secretario de la junta de exámenes de esta corte; D. Pedro Josef de</t>
  </si>
  <si>
    <t>Josefa de Arangoiti y Biguri</t>
  </si>
  <si>
    <t>sus hermanos y sobrinos, y son: uno de i5o9rs, á Doña Agueda de Arangoiti y Biguri: otro de 150© á Doña Josefa de Arangoiti y Biguri: otro de 30© á su marido D. Francisco de Perea: otro de 50© a D. Domingo de Barrenengoa: otro de 40© á D. Manuel de Landazuri: otro de 40© por mitad 4 Doña Josefa y Doña Ignacia d</t>
  </si>
  <si>
    <t>Josefa de Herrera y Retes, María</t>
  </si>
  <si>
    <t>María Josefa de Herrera y Retes</t>
  </si>
  <si>
    <t>á todas y qualesquiera personas que se consideren con derecho ó acción á los bienes de la referida Doña María Josefa de Herrera y Retes, ó de D. Felipe Zapata su marido, para que en el término de 30 dias contados desde la publicación de este anuncio, acudan ante dicho señor, por la escribanía de D. Miguel Gonzalo,</t>
  </si>
  <si>
    <t>mero de D. Miguel Gonzalo, se cita, llama y emplaza á D. Ignacio Ladrón de Pallas, como heredero de Doña María Josefa de Herrera y Retes, ¿ sus hijos, herederos y sucesores, á ?os de Brígida Aivarez, administrador ó representante del concurso de D. Luis Montero del Carpió , y á todas y qualesquiera personas que se</t>
  </si>
  <si>
    <t>Josefa Gravilla Valdcatenas</t>
  </si>
  <si>
    <t>do igualmente el derecho por la sentencia de 1a. chancillería á. los que le- pueden tener mejor que Doña Josefa Gravilla Valdcatenas.. Por el juzgado del Sr. D. Francisco López Lisperguer, alcalde de casa y corte, y escribanía de D.. Manuel López de Ribas, se cita, llama y emplaza á los parientes mas cercanos d</t>
  </si>
  <si>
    <t>Josefa Herrera y Retes</t>
  </si>
  <si>
    <t>corregidor de esta villa, se cita, llama y emplaza á D. Ignacio Ladrón de Pailas, como heredero de Doña Josefa Herrera y Retes, á sus hijos, herederos y sucesores, á los de Brígida Alvarez, administrador ó representante del concurso de D. Luis Montero dei Carpió, y á todas y qualesquiera personas que se c</t>
  </si>
  <si>
    <t>Josefa María</t>
  </si>
  <si>
    <t>abezas dibuxadas por las señoras Doña María Luisa Bendicho de Virues, gobernadora de está ciudad, y Doña Josefa María, hija de Don Andrés de la Piedra, juez presidente de la junta de arrecife, que merecieron el aplauso de todos los asistentes. Por lo qual, y para estímulo de las demas señoras de</t>
  </si>
  <si>
    <t>Josefa Morales</t>
  </si>
  <si>
    <t>este acto de heroísmo pudo haber tenido principio eñ los exemplos de primera excepción de la Señora Doña Josefa Morales, Gobernadora de Montevideo , y Doña Francisca Huet,, digna esposa del Sargento Mayor y Coman</t>
  </si>
  <si>
    <t>Josefa y Ignacia de Landazuri</t>
  </si>
  <si>
    <t>o de 50© a D. Domingo de Barrenengoa: otro de 40© á D. Manuel de Landazuri: otro de 40© por mitad 4 Doña Josefa y Doña Ignacia de Landazuri: otro de 2oí) 4 cada uno de sus quatro sobrinos y sobrinas, hijos de los insinuados D. Francisco de Perea y Doña Jo^fa de Arangoiti: otro de 15© 4 cada uno de sus tres sobrinos, s</t>
  </si>
  <si>
    <t>Josefa Zurariain</t>
  </si>
  <si>
    <t>Carrasquedo, D. Casimiro Osorio, D. Josef de Torres, D. Mauricio del Valle, D. Severino de Salazar, Doña Josefa Zurariain,D.Francisco del Valle, D. Francisco Fernandez de Villa, D. Estéban Beulf, D. Cayetano Franques, D. Pascual &lt;Gisbert,T&gt;. Andrés de A yala,D.Félix deRivas, las memorias deVargas y D</t>
  </si>
  <si>
    <t>JosefAn</t>
  </si>
  <si>
    <t>conceder en'el resimiento de infantería de Guada— laxara compañía al Teniente, graduado deCapitan, D. JosefAn:oriio Pórtela ; Tenencia al Subteniente D. Josef Rodríguez. Pantiga, y Subtenencia de bandera al Cadete D. Pedro Fernandez de la Cuesta: en el de Granada Subtenencia de bandera al</t>
  </si>
  <si>
    <t>JosefVinuesa</t>
  </si>
  <si>
    <t>tercera ó superior clase, á D. Ignacio Yañez Rivadeoeyra: p2ra el de Segovia» de la misma clase, á D. JosefVinuesa: para el de la villa de Camón» que este dexa,de la segunda, á D. Francisco Gutiérrez López Caravantes: para el de la ciudad de Sto. Domingo de la Calzada , de la misma clase » á D</t>
  </si>
  <si>
    <t>JosefWohleb, Juan</t>
  </si>
  <si>
    <t>Juan JosefWohleb</t>
  </si>
  <si>
    <t>yudante en el de Preux al teniente D. Josef Ignacio Willa: subteniente en el de Betschart al cadete D. Juan JosefWohleb: subteniente de granaderos en el de Reding, núm. 2.0, al de fusileros Den Josef Buman: subteniente en el de Reding, núm. 3.0, al cadete D. Baltasar Josef Vincenz: en el de Soria c</t>
  </si>
  <si>
    <t>Jóseíf Pinto</t>
  </si>
  <si>
    <t>de Temedle: Coronel, D.¿Bédro?SáénzirTenencias?envíos de Mtirr . cia y Princesa á los Subtenientes D. Jóseíf Pinto y í)¿: Mariano Díaz Capilla; y Subtenencias de bandera .en el Inmemorial del Rey ai Sargento prímero de granaderos distinguido D. Juan Ignacio Estaola, y abCadete del de .Sevilla D.</t>
  </si>
  <si>
    <t>Joset</t>
  </si>
  <si>
    <t>■ 747 í&gt;edro Saiz Rodrigue^,; racionero de Ja qatedralódéi Toledo ,*á D. Joset de ía Porte: para el beneficio servidero de la parroquia ,derS.Juande la ciudad de Avila., vacante,por faliecmiiento de D. Jpsef Ventura-de Estrada, a D. Manuel;López» cura5 vicario</t>
  </si>
  <si>
    <t>Jove Dasmariñas y Navia, Ramón</t>
  </si>
  <si>
    <t>Ramón Jove Dasmariñas y Navia</t>
  </si>
  <si>
    <t>Antonio Gil y Mas, segundo ayudante de la plaza de Palma. En atención á los méritos y servicios de D. Ramón Jove Dasmariñas y Navia, regidor perpetuo de la ciudad de Oviedo, y á lo ilustre de su familia , ha venido el Rey en concederle merced de título de vizconde para sí, sus hijos y sucesores en sus mayorazg</t>
  </si>
  <si>
    <t>Jpsef Ángel Foncillas</t>
  </si>
  <si>
    <t>nquilidad apar del mayor regocijo. -* • i- j : Madrid 8 de setiembre* S. M. se ba servido nombrar á D. Jpsef Angel Foncillas para el priorato de la iglesia colegial y regular del sant 3 Sepulcro de la ciudad de'Calatayud» obispado de Tarazona, vacante por muerte de D. Paterno Fernandez de Moros; y pata</t>
  </si>
  <si>
    <t>Jpsef Ventura-de Estrada</t>
  </si>
  <si>
    <t>beneficio servidero de la parroquia ,derS.Juande la ciudad de Avila., vacante,por faliecmiiento de D. Jpsef Ventura-de Estrada, a D. Manuel;López» cura5 vicario de la -misma parroquia, con la carga deresidencia personal , y demás que tiene anexas; y para una de las dos plazas de sochantre, vacante - en la</t>
  </si>
  <si>
    <t>Jr-s'ef Cabrera</t>
  </si>
  <si>
    <t>de las compañías fixas de artilleros veteranos del departamento de la Havana á D. Francisco Palmes, D. Jr-s'ef Cabrera y D. Ignacio Salens /capitanes segundos de las mismas: para ios de capitanes de las compañías fixa-s de artilleros veteranos del departamento de Lima á D. Juan Subirats, capitán segun</t>
  </si>
  <si>
    <t>Jtian Pesquera</t>
  </si>
  <si>
    <t>iza y Dv Josef Florencio de Castilla; á alféreces i los portaestandartes*D. Hilario García Tejada * D. Jtian Pesquera, D. Andrés Obregon y D. Antonio Velásco y Pérez* Gatvez* y a portaestandartes al cadete D. Josef Apolinario Quixano y í&gt;. Pedro Ruiz de Otaño, vecino de la demarcación del regimie</t>
  </si>
  <si>
    <t>Juaa Ortiz de Zarate</t>
  </si>
  <si>
    <t>eminaristas D. Luis Berganzá, D. Bonifacio Olivencia, D. Bernabé de Otalora , D. Juan de Mazarredo, D. Juaa Ortiz de Zarate, D. Juan de Abrana, D. Pedro Cendeja, D. Pablo Unda, el cadete de reales guardias Walonas D. Félix Gilman, D. Pablo Ferrando, cadete del regimiento de infantería de Soria, D. Manu</t>
  </si>
  <si>
    <t>Juaif de Mata Soberrón</t>
  </si>
  <si>
    <t>al soldado ommguido D. Manuel Nieto; y á Portaguiones á D. Josef Ramón Barrera, D. Pablo Costales, D. Juaif de Mata Soberrón y D. Manuél Osores, los quatro últimos soldados distinguidos del mismo cuerpo; y.á subteniente veterano y comandante de la partida de asamblea de lea á D. Pedro Josef de Vargas, sarge</t>
  </si>
  <si>
    <t>Juan Antonio</t>
  </si>
  <si>
    <t>e su cuenta, con la eficacia que acostumbra, este.útil establecimiento. ,,Permitidme, señor coronel D. Juan Antonio laLlata, que publique á la faz del mundo vuestro inmortal nombre. A vos se debe, á vos, vecino honrado, que no satisfecho con haber contribuido para una escuela de primeras letras, q</t>
  </si>
  <si>
    <t>Juan Bautista Alonso</t>
  </si>
  <si>
    <t>l de Sta. María de la ciudad de Cuenca, vacante por fallecimiento de D. Patricio Sánchez Hidalgo, á Don Juan Bautista Alonso, beneficiado de la iglesia de Fabara en la diócesi de Zaragoza, con la obligación de residirlo por sí, y cumplir las demas cargas que tiene impuestas de alternar con el párroco de</t>
  </si>
  <si>
    <t>Juan Lucas</t>
  </si>
  <si>
    <t>incia de D. Manuel López de Rivas. AvisoSe desea saber el paradero de Juan Josef Salamanca, hijo de D. Juan Lucas, sargento retirado de los reales batallones de marina, que se ausentó con su madre *3 años hace de la ciudad de Valencia. Quien supiere de él, avisará á D. Juan Manuel Fernandez,</t>
  </si>
  <si>
    <t>Juan Manuel</t>
  </si>
  <si>
    <t>sino á IoS'juristffs, porque hallan recopiladas las especies para los ca^ sos que les ocurran : por D. Juan Manuel .López Fándo, escribano del número, de esta villa», á 16 rs. en-pergamino y 20 en pasta. -¿_&gt;Demostrácicn práctica del modp de hacer lis liquidaciones para redimir censos enfitéut</t>
  </si>
  <si>
    <t>Juana</t>
  </si>
  <si>
    <t>deras por el monasterio de S. Gerónimo de la última, que son las siguientes: un cortijo nombrado de Doña Juana, en el campo de Savalcol, término de la misma ciudad de Baza, con su huerta cercada de seto, álamos y tierras que le pertenecen, tasado en 148,772 rs.: -una huerta cercada de tapi</t>
  </si>
  <si>
    <t>Juana Bautista de Orellana</t>
  </si>
  <si>
    <t>en esta corte , calle de Jacometrezo, núm. n, manz. 379 , el uno de 11,963 rs. 23 mrt., á favor de Doña Juana Bautista de Orellana; y el otro de 441 1 rs. 26 mrs-, á favor del doctor Román, como cesonario de Andrés de Mosquera, para que en el término de 15 dias comparezcan á legitimar su derecho, y pedir lo q</t>
  </si>
  <si>
    <t>Juana Bergues</t>
  </si>
  <si>
    <t>ra, ó la niña abandonada, novela inglesa, que traduxo al francés Mr. T. P. Bertin, y presenta ahora Doña Juana Bergues, natural de Barcelona, de edad de 16 años. Se hallará en la libreria.de Cerro, calle de las Carretas, y en la imprenta de Vallin, calle de la Luna, á ¿‘rs. en rústica.—También se</t>
  </si>
  <si>
    <t>Juana Caldera Freyle</t>
  </si>
  <si>
    <t>.de que deberán deducirse 89,130 rs. sobre que se fundaron los, dos patronatos, mandados fundar por Doña Juana Caldera Freyle, hija de la Doña Beatriz, en ci convento de Sta. Clara de esta córte,, y á cuyo goce y obtención de dichos patronatos está reservado igualmente el derecho por la sentencia de 1a.</t>
  </si>
  <si>
    <t>Juana de Castilla</t>
  </si>
  <si>
    <t>ías, las fincas siguientes, que pertenecen á capellanías colativas. Una dehesa^ de pasto llamada de Doña Juana de Castilla, sita en término de dicha ciudad, cuya cabida es de 125 fanegas, con su fuente abundante, tasada en 64,340 rs.: un soto llamado de la Rinconada, en el citado término, de caber 40</t>
  </si>
  <si>
    <t>JuanAlmeyda</t>
  </si>
  <si>
    <t>y doctor en cirugía; D. Eugenio Aravaca, médico; D. Tomas de Llanes, teniente coronel de milicias; D. JuanAlmeyda; D. Manuel García Várela; D. Manuel Malo y Reyes; D. Blas Ostoloza, doctor en teología y cánones; D. Domingo Parrondo y Ortiz, y D. Francisco Pió Guzman, maestros de primeras letr</t>
  </si>
  <si>
    <t>JuanBecerril</t>
  </si>
  <si>
    <t>arcedianato de Cervera, dignidad de la catedral de Tortosa, vacante por muerte de D. Jayme Gaya: á D. JuanBecerril é Hinojosa para una canon</t>
  </si>
  <si>
    <t>Juanete Conqba</t>
  </si>
  <si>
    <t>se babia.ponstituido ifiador;de uho de los. harcos,de transporte en caso.de pérdida, íjrmó por 25o; D. Juanete Conqba; por ioq^ exemplpauefué^seguido por toados ;1gs Oficiales del Éxército y Arma da. lachas tropas.se pprtáron el día iz coa el;mas distinguido valor. . neo i ¿-r r- í-{ 1 Salimos de</t>
  </si>
  <si>
    <t>JUeindescm, Coronel</t>
  </si>
  <si>
    <t>Coronel JUeindescm</t>
  </si>
  <si>
    <t>60 «Idia 17. .; ^ ; y y ' .y ,Tr; ■ ,■ . y ‘ Se trató entonces de jrecoaocer: toda la plaza y y el Coronel JUeindescm</t>
  </si>
  <si>
    <t>Juez Sarmiento, Pedro</t>
  </si>
  <si>
    <t>Pedro Juez Sarmiento</t>
  </si>
  <si>
    <t>e los pobres enfermos de los reales hospitales general y de la pasión de esta corte, y han cabido á D. Pedro Juez Sarmiento, vecino de Jumilla, reyno de Murcia; lo que se avisa al público para su noticia: repitiendo la de que en el acostumbrado puesto de la calle de las Carretas sigue la rifa, á 4 rs.</t>
  </si>
  <si>
    <t>JuliánSaez</t>
  </si>
  <si>
    <t>la audiencia del señor teniente D. Torquato Antonio Collado, comisionado por S. M. ai efecto, ante D. JuliánSaez, escribano del número de esta villa. AVISOS. En 22 de junio de este año la casa de los señores de Arabet, Gautier, Manning y compañía, de Barcelona, remitió á dirección de E&gt;. Jor</t>
  </si>
  <si>
    <t>Junot, General</t>
  </si>
  <si>
    <t>General Junot</t>
  </si>
  <si>
    <t>de que los Franceses habían embestido la plaz.a de Dantzick, y empezado á bombardearla. . ■ ■ •; El General Junot, Gobernador de París, ha asistido al examen público de los sordo-mudos. El Abate Sicard le presentó ,una niña surdo-muda,' hermana de otra que hace 3 anos está en él instituto. No</t>
  </si>
  <si>
    <t>Jusupou, Príncipe</t>
  </si>
  <si>
    <t>Príncipe Jusupou</t>
  </si>
  <si>
    <t>Psiquis, de mármol, en la galería del Príncipe Murat,en París. Copia del mismo, en mármol, para el Príncipe Jusupou, en Rusia. Un Cupido, cuya’ cabeza es él retrato dei Príncipe joven Zartorinsjá» de mármol. Copia del mismo, con ia cabeza ideal, de mármol: esta obra está en Inglaterra, y otra s</t>
  </si>
  <si>
    <t>Kamenskoy, General</t>
  </si>
  <si>
    <t>General Kamenskoy</t>
  </si>
  <si>
    <t>cos dias. Ei éxito, con la ayuda de Dios, no puede ser dudoso. Ei exército Ruso está mandado por el General Kamenskoy, viejo de 75 años, que tiene á sus órdenes á los Generales Beningsen y Búxhowden. . El General Micjhelson1 entró de positivo en Moldavia. Algunos aseguran que se apoderó'de Yassi</t>
  </si>
  <si>
    <t>lexandro ha desechado el proyecto de dar la dirección de todas sus tropas con poderes ilimitados al General Kamenskoy.</t>
  </si>
  <si>
    <t>conoce ni es conocido de ella.” Sin embargo,, aunque efectivamente no haya alcanzado Basta ahora el General Kamenskoy una gran gloria militarles imposible que no; haya adquirido mucha experiencia: déspues de: haber hecho su carrera tan larga en los exércitos de una potencia que. ha estado em cont</t>
  </si>
  <si>
    <t>gages, y’-2 &lt; á 30® homnees entre muertos, heridos, y •prhiónerósV-/'4'l: - - '5 -- h ■/ ; ; ¿ &gt; El General Kamenskoy, que pasaba por otro Suwaiow, acaba.de p«f</t>
  </si>
  <si>
    <t>Kamenskoy, Mariscal</t>
  </si>
  <si>
    <t>Mariscal Kamenskoy</t>
  </si>
  <si>
    <t>á caballo; y el regimiemo.de coraceros del Emperador ataa&gt; y desbarató una coluna de infantería. El Mariscal Kamenskoy salió para Ostrolenka el-14 (26 nuevo estilo), la mañana antes del ataque de Pultusk, entregándome el mando en gefe, con lo qual he tenido la dicha de mandar solo durante todo el</t>
  </si>
  <si>
    <t>grande francés habia pasado el Vístula, y pidiéndole que enviase p3rte de sus tropas á socorrer al Mariscal Kamenskoy. Con tales novedades el Mariscal Michelson replegó su vanguardia sobre Birlat, y so cuerpo de exército sobre Jassy. PRUSIA. Dantzig $ de enero. En el dia no se habla una palabra d</t>
  </si>
  <si>
    <t>Kaminsky, Mariscal</t>
  </si>
  <si>
    <t>Mariscal Kaminsky</t>
  </si>
  <si>
    <t>se avivó el cañoneo. La posición del enemigo era buena por estar apoyado en bosques y pantanos. El Mariscal Kaminsky, que mandaba en persona, creía poder pasar la noche en: aquella posición, aguardando otras cplunas; pero se engañó, porque fué arrojado de ella y peregúido por espacio de algunas</t>
  </si>
  <si>
    <t>Karoinsky, Feld Mariscal</t>
  </si>
  <si>
    <t>Feld Mariscal Karoinsky</t>
  </si>
  <si>
    <t>Franceses entráron con facilidad en Varsovia, pasaron el Vístula, y se hiciéroa dueños de Prag. El Feld Mariscal Karoinsky llegó al exército Ruso quando se reunia el cuerpo de Benigsen con el de Buxhowden; y llevando muy á mal que los Rusos retrocediesen , por parecerle que en ello se comprometía el h</t>
  </si>
  <si>
    <t>Kasly, Luis</t>
  </si>
  <si>
    <t>Luis Kasly</t>
  </si>
  <si>
    <t>ento suizo de Traxier al capitán segundo D. Juan Ebneter,y á teniente de granaderos al de fusileros D. Luis Kasly: en el de Reding, núm. 2.0, á teniente de granaderos al de fusileros D. Agustín Stoffei, y á teniente al subteniente de granaderos D. Tomas Metzger: en el de Preux á subteniente d</t>
  </si>
  <si>
    <t>Kasly, Ventura</t>
  </si>
  <si>
    <t>Ventura Kasly</t>
  </si>
  <si>
    <t>miento fixo de Ceuta al cadete D. Juan Dieste: en el Suizo de Traxler á capitán segundo al teniente D. Ventura Kasly; á teniente al subteniente de granaderos D. U Ir ico Mayenfuch; á este empleo al de fusileros Don.</t>
  </si>
  <si>
    <t>Keith, Lord</t>
  </si>
  <si>
    <t>Lord Keith</t>
  </si>
  <si>
    <t>diterráneo. El conmodoro Keates se hará pronto á da vela de Portsmouth con la división de su mando. Lord Keith ha recibido órdiea de dexar el mando qne se le había confiado, el qúaWe extendía á todas las fuerzas navales empleadas desde el mar Báltico hasta la: isla! de Wight.El proyecto de</t>
  </si>
  <si>
    <t>Kellerman, Mariscal</t>
  </si>
  <si>
    <t>Mariscal Kellerman</t>
  </si>
  <si>
    <t>cipe de Hohenzollern-Sigmaringep.—__Ha salido de Maguncia una división, del exército de reserva del Mariscal Kellerman. La vanguardia de esta división ha llegado ya á Magdeburgo.__ Se ha firmado en Posen la paz con el Elector de Saxonia y con el Duque de Saxonia- Weymar___ Todos ios Príncipes de S</t>
  </si>
  <si>
    <t>Keoph</t>
  </si>
  <si>
    <t>to de la empresa, les aconsejaque desistan de ella, y aguarden tiempos mas felices. Leída la carta, Mr. Keoph pronunció un discurso, en que»trató;de jniti^iríel,sentimiento é inquietudes de los católicos. Dixo que, aunque serbia frustrado la tentativa que acababa de hacerse en el parlamen</t>
  </si>
  <si>
    <t>idades y empleos á concurrir por mas tiempo ai sistema de injusticia y de opresión que nos aflige.” Mr. Keoph contó que un personage de la mayor calidad é inflaxo, que es el duqüS de Cumberland, habia escrito á la universidad de Dublin, de que es canciller, aconsejándola que dirigiese al</t>
  </si>
  <si>
    <t>Ker, Pedro</t>
  </si>
  <si>
    <t>Pedro Ker</t>
  </si>
  <si>
    <t>ill, D. Francisco Cañedo y D. Juan Bernardo Domínguez ; á Subtenientes de compañía á los de bandera D. Pedro Ker«ion, D. Diego Barredo, D. Henrique deGrand-pré y D. Alexo Lessacier; y á Subtenientes de bandera á los Cadetes D. Juan Josef de Noricga , Don Pedro de Vegas y D. Martin Palao, y a</t>
  </si>
  <si>
    <t>Kirmengi</t>
  </si>
  <si>
    <t>ompone de 60 personas entre magnates, clérigos é individuos denlos otros estados. La una la preside Mr. Kirmengi, y la otra el conde Francisco de Zichi. Se han recibido aquí cartas de diferentes partes, y todas contestan en que los ingleses han sido derrotados en Egipto. Escriben de Transilv</t>
  </si>
  <si>
    <t>Kleist, General</t>
  </si>
  <si>
    <t>General Kleist</t>
  </si>
  <si>
    <t>á ser arcabuceado; el Sargento mayor Beckendorf, Comandante de Spandau, ha‘ dexado el servicio; el General Kleist y el Coronel Tressel, encargados de la defensa de Mag— déburgo, han dexado también el servicio. Berlín io de enero. Se asegura que el Emperador de Rusia ha prohibido las relaciones co</t>
  </si>
  <si>
    <t>Knobelsdorf</t>
  </si>
  <si>
    <t>tar perfectamente de la vista de la iluminación, para la qual no se ha perdonado gasto alguno. •: , Mr. Knobelsdorf, general de S. M. prusiana, está en camino para París, donde residirá ea calidad de embaxador del Rey de Prusia cerca de S. M. I. y R. ESPAÑA. Madrid 28 de agoste* El martes de es</t>
  </si>
  <si>
    <t>Kñobelsdotf, General</t>
  </si>
  <si>
    <t>General Kñobelsdotf</t>
  </si>
  <si>
    <t>dexado el servicio; el Teniente General Romberg, Gobernador de Stettin, ha sido degradado; el Mayor General Kñobelsdotf, degradado igualmente; el Mayor General Raulk, segando Comandante de Stettin, ha dexado el servicio; el Sargento mayor Hardenberg ha sido degradado; el Coronel Ingersleben, Comand</t>
  </si>
  <si>
    <t>Kolqhoun</t>
  </si>
  <si>
    <t>632 mayor esmero.— Posteriormente ha recomendado dicho método Mr. Kolqhoun en un libro que acaba de dar á luz; y resulta de sus cálculo», que adoptándolo generalmente, las sumas quantiosas invertidas ahora en Inglaterra solo en las escuelas gratuitas basta</t>
  </si>
  <si>
    <t>Kosciuszko, General</t>
  </si>
  <si>
    <t>General Kosciuszko</t>
  </si>
  <si>
    <t>. Maguncia 16 de Diciembre. Todos los diarios Alemanes publican la carta siguiente, dirigida por el General Kosciuszko á los Polacos. # ,,Valientes compatriotas: al estruendo de las armas, que resuenan de nuevo en Polonia, Kosciuszko vuela á incorporarse con vosotros. Los que avanzan por nuestras</t>
  </si>
  <si>
    <t>Kosin, General</t>
  </si>
  <si>
    <t>General Kosin</t>
  </si>
  <si>
    <t>olstoy, Barkley de Tolly, el Príncipe Dolgorowky, Baggouwot, Summow y Gondorff: en la caballería el General Kosin. El Coronel de Zegulin, con el regimiento de tártaros polacos de Kochowski, cargó el ala derecha del enemigo, y le hizo macho daño. El Coronel de Knorring, con su regimiento de tá</t>
  </si>
  <si>
    <t>Kourakin, Alexandro (príncipe)</t>
  </si>
  <si>
    <t>Príncipe Alexandro Kourakin</t>
  </si>
  <si>
    <t>uila negra y del Aguila roxa de Prusia y de S. Huberto; Y S. M. el Emperador de todas las Rusias al Príncipe Alexandro Kourakin, su consejero privado actual, del consejo de Estado , senador, canciller de todas las órdenes del imperio, su gentilhombre con exercicio, embaxador extraordinario y ministro pleni</t>
  </si>
  <si>
    <t>Kourakin, Príncipe</t>
  </si>
  <si>
    <t>Príncipe Kourakin</t>
  </si>
  <si>
    <t>El Emperador Napoleón ha enviado la gran banda de la legión de Honor al gran Duque Constantino, al Príncipe Kourakin, al Príncipe Labanofif y á Mr. Budberg. El Emperador Alexandro ha condecorado con las insignias de la grande orden de S. Andrés al Príncipe Gerónimo Napoleón; Rey de Wesffalia, al</t>
  </si>
  <si>
    <t>Krafft, General</t>
  </si>
  <si>
    <t>General Krafft</t>
  </si>
  <si>
    <t>de; Breslau, Coronel de un regimiento de infantería,, y caballero del orden; déLMérito;, y el Mayor General Krafft , Comandante de Bresláu. .■? f ; Artículo i* La plaza de Breslau ;se rendirá á las tropas francesas: y aliadas de S. M. el Emperador Napoleón pasado mañana 7 dél corriente. 11. To</t>
  </si>
  <si>
    <t>Krusenstern</t>
  </si>
  <si>
    <t>ional. El célebre viagero Lapeyrouse reconoció parte de sus costas, y dio una descripción de ellas. Mr. Krusenstern las ha recorrido todas á su regreso del Japón, y ha determinado astronómicamente varios puntos, y hecho un mapa circunstanciado en que están marcadas hasta ias mas pequeñas bahías. Ta</t>
  </si>
  <si>
    <t>Kurakin, Príncipe</t>
  </si>
  <si>
    <t>Príncipe Kurakin</t>
  </si>
  <si>
    <t>rador Alexandro, quien por su parte le presentó también á Mr. de BudE erg, ministro de Estado, y al Príncipe Kurakin. En seguida se entraron los dos Soberanos en el gabinete del Emperador Napoleón, donde estuvieron solos hasta las n de la noche. Hoy 28 á las 12 del dia ha pasado el Niemen el Rey</t>
  </si>
  <si>
    <t>de Presburgo había anunciado ya anteriormente la misma noticia. Las cartas de Viena aseguran que el Príncipe Kurakin ha tenido varias conferencias con el conde de Stadion, relativas al paso de las tropas rusas por territorio austríaco. Parece que el resultado no ha sido á gusto del embaxador. El</t>
  </si>
  <si>
    <t>la Fuente de Vclasco, Vicente</t>
  </si>
  <si>
    <t>Vicente la Fuente de Vclasco</t>
  </si>
  <si>
    <t>ra á qualquiera de estas fincas lo executará por ja e^iribanía de esta subdelegado!], que desempeña D. Vicente la Fuente de Vclasco. Por providencia de D. Josef Ruíz de Celada, comisionado real para la venta: de bienes eclesiásticos en la diócesi de Zaragoza, se ha mandado sacar á pública subasta una torre lla</t>
  </si>
  <si>
    <t>la Fuente de Velasco, Vicente</t>
  </si>
  <si>
    <t>Vicente la Fuente de Velasco</t>
  </si>
  <si>
    <t>a comisión, que desempeña Raf moh Lorenzo Morales, escribano del número de dicha villa, ó por la de D. Vicente la Fuente de Velasco, escribano real y del número de la referida ciudadji El señor intendente de esta provincia, en decreto de 28 de setiembre próximo anterior, ha señalado el término de go días para</t>
  </si>
  <si>
    <t>Labanof, Príncipe</t>
  </si>
  <si>
    <t>Príncipe Labanof</t>
  </si>
  <si>
    <t>nes del armisticio, que ha sido confirmado por el Emperador Alejandro, Habiendo pedido hoy mismo el Príncipe Labanof una audiencia al Emperador, ha sido admitido á ella á las 2 de la tarde , y ha estado largo rato en el gabinete de S. M. Se aguarda aqui al general Kalkreuth para que firme el arm</t>
  </si>
  <si>
    <t>otro barco, acompañado del gran Duque Constantino, del general Beningsen, dei general Ouwaref, del Príncipe Labanof, y de su primer edecán el conde de Lléven. Los dos barcos llegaron á un tiempo; los dos Emperadores se han abrazado al poner el pie en la balsa; han entrado juntos en la sala que</t>
  </si>
  <si>
    <t>Labanoff, Príncipe</t>
  </si>
  <si>
    <t>Príncipe Labanoff</t>
  </si>
  <si>
    <t>as altaras de Tilsit le entregaron los dos billetes adjuntos; y en seguida el teniente general ruso Príncipe Labanoff pasó el Niemen,y tuvo una conferencia de una hora con ei Principe de Neufchatel. El enemigo ba quemado aceleradamente el puente de Tilsit sobre el Niemen, y parece continúa su ret</t>
  </si>
  <si>
    <t>Labanofif, Príncipe</t>
  </si>
  <si>
    <t>Príncipe Labanofif</t>
  </si>
  <si>
    <t>ha enviado la gran banda de la legión de Honor al gran Duque Constantino, al Príncipe Kourakin, al Príncipe Labanofif y á Mr. Budberg. El Emperador Alexandro ha condecorado con las insignias de la grande orden de S. Andrés al Príncipe Gerónimo Napoleón; Rey de Wesffalia, al gran Duque de Berg y de</t>
  </si>
  <si>
    <t>Lablance</t>
  </si>
  <si>
    <t>el fuerte de Kambal; pero tuvo que abandonar su empresa. ^ ' El secretario de la legación francesa Mr. Lablance, y el teniente coronel Ponton han partido paria Persía; tendrán parté en las operaciones con</t>
  </si>
  <si>
    <t>Lacaba, Ignacio</t>
  </si>
  <si>
    <t>Ignacio Lacaba</t>
  </si>
  <si>
    <t>pergamino y 44 en pasta. Curso completo de anatomía del cuerpo humano, por el Dr.D. Jayme Bonelf* y D. Ignacio Lacaba, en g tomos en8.° En el discurso preliminar se da una breve historia de la anatomía desde su origen hasta el siglo xvin. En los 5 tratados, que comprehenden la anatomía teórica, s</t>
  </si>
  <si>
    <t>Lacaile, Ramón</t>
  </si>
  <si>
    <t>Ramón Lacaile</t>
  </si>
  <si>
    <t>el de Cantabria al sargento primero D. Francisco Casalbon , y en el expresado de Ñapóles al cadete D. Ramón Lacaile. En el regimiento de caballería de la Reyna se ha servida S. M. conceder empleos de portaestandartes á los cadetes D. Manuel Mauduit y DonFrancisco de Paula Serrano:: en. los dei</t>
  </si>
  <si>
    <t>Lacambra, Joaquín</t>
  </si>
  <si>
    <t>Joaquín Lacambra</t>
  </si>
  <si>
    <t>de Chinchón, lograron igualmente dulcificar unos vinos que de agrios y torcidos no podían beberse. D. Joaquín Lacambra, vecino de Grau;, que preparó con mascabado todos los xarabes de su botica, y le salieron muy especiales. D. Marcos Palacio,</t>
  </si>
  <si>
    <t>Lacépede</t>
  </si>
  <si>
    <t>os la goleta, que no llevaba mas que un cañón de á 6 y 42 hombres. S. M. el Emperador ha nombrado á Mr. Lacépede presidente del senado para el año que empieza el dia de la fecha del decreto, que se expidió en el campo imperial de Tiisit á i.° de julio. ESPAÑA. Valladolid 1$ de julio. Propues</t>
  </si>
  <si>
    <t>Lacepede</t>
  </si>
  <si>
    <t>loud á cumplimentar á S. M. el Rey de Westfalia una diputación del senado, compuesta del presidente Mr. Lacepede, y de los pretores Mr. el mariscal duque de Dantzick, y Mr. Clement de Rist Mr. Lacepede pronunció el discurso á nombre del senado, y concluido entró á cumplimentar á S. M. otra d</t>
  </si>
  <si>
    <t>Lacroix</t>
  </si>
  <si>
    <t>ayer llegó aquí el mayor Schopink, oficial ruso, á quien acompañaba desde Milán el gefe de esquadra Mr. Lacroix, ayudante del virey de Italia. Viene del quartel general de Tilsit con la orden del Emperador Alexandro dirigida á los comandantes de las fuerzas rosasen el Adriático» para que ce</t>
  </si>
  <si>
    <t>Lacuesra, Francisco</t>
  </si>
  <si>
    <t>Francisco Lacuesra</t>
  </si>
  <si>
    <t>Diego Hernández Gardon, y subtenencia de bandera en el de Aragón al sargento primero de granaderos D. Francisco Lacuesra. En el regimiento .¿de caballería de Farnesio se ha servido el rey conceder empleo de portaestandarte al cadete graduado de alférez D. Josef Agustín Manso; y en el de Húsares Espa</t>
  </si>
  <si>
    <t>Ladrón de Pailas, Ignacio</t>
  </si>
  <si>
    <t>Ignacio Ladrón de Pailas</t>
  </si>
  <si>
    <t>sejos. Por el Sr. D. León de Sagasta, teniente corregidor de esta villa, se cita, llama y emplaza á D. Ignacio Ladrón de Pailas, como heredero de Doña Josefa Herrera y Retes, á sus hijos, herederos y sucesores, á los de Brígida Alvarez, administrador ó representante del concurso de D. Luis Montero dei Carp</t>
  </si>
  <si>
    <t>Ladrón de Pallas, Ignacio</t>
  </si>
  <si>
    <t>Ignacio Ladrón de Pallas</t>
  </si>
  <si>
    <t>corregidor de esta villa, y escribanía del número de D. Miguel Gonzalo, se cita, llama y emplaza á D. Ignacio Ladrón de Pallas, como heredero de Doña María Josefa de Herrera y Retes, ¿ sus hijos, herederos y sucesores, á ?os de Brígida Aivarez, administrador ó representante del concurso de D. Luis Montero</t>
  </si>
  <si>
    <t>Lafoíi</t>
  </si>
  <si>
    <t>principios fundamentales de la ciencia y arte de mantener y restablecer la salud del hombre, por el Dr. Lafoíi, médico del hospital de Burdeos, traducidos al castellano. Esta obra ofrece á los profesores de medicina y cirugía unos preliminares nuevos y filosóficos de su ciencia para compre</t>
  </si>
  <si>
    <t>Lafon</t>
  </si>
  <si>
    <t>, con las ideas mas precisas para la inteligencia del sistema nervioso y del principio de vida, por Mr. Lafon: traducción del francés: un tomo en 4.° = Aforismos de Hipócrates: un tomo en 8.° Se hallarán de venta en las librerías de Castillo, frente á las gradas de S. Felipe, y de Barco,</t>
  </si>
  <si>
    <t>Laforest</t>
  </si>
  <si>
    <t>llegado hasta designar los plenipotenciarios siguientes : por la Francia el Príncipe de Benevento y Mr. Laforest; por la Rusia el conde de Stakelberg; por la Prusia el conde de Rustrofif; y el conde de Stadion por el Austria. Añaden también que se está amueblando un palacio en Praga para dic</t>
  </si>
  <si>
    <t>Lafueate de Vclasco, Vicente</t>
  </si>
  <si>
    <t>Vicente Lafueate de Vclasco</t>
  </si>
  <si>
    <t>s. Quien quisiere hacer postura, lo executará por la escribanía de la misma comisión, que desempeña D. Vicente Lafueate de Vclasco, escribano real y del numero de dicha ciudad. Por providencia de D. Juan López de Vinuesa, subdelegado para la venta de bienes eclesiásticos en la villa de Ciceres y su a.rciprest</t>
  </si>
  <si>
    <t>Lafuente de Velasco, Vicente</t>
  </si>
  <si>
    <t>Vicente Lafuente de Velasco</t>
  </si>
  <si>
    <t>sión, que,dcsempeña.ILamon Lorenzo Morales , escrih^no del número de la referida villa, ó por la de D. Vicente Lafuente de Velasco, escribano real y del número dé la expresada ciudad. AVISOS, En el juzgado ordinario de la ciudad de Alcalá de Henares, y escribanía de D. Pascual Zamora, penden autos, en los que</t>
  </si>
  <si>
    <t>Lagoa, Alexandro</t>
  </si>
  <si>
    <t>Alexandro Lagoa</t>
  </si>
  <si>
    <t>los gefes de trozo D. Manuel de la Cámara, D. Josef Fernandez, D. Manuel Abad, D. Manuel Ferrando, D. Alexandro Lagoa, D. Sebastian Fernandez de Navarrete, D. Carlos Van-Zoelen, y los caballeros seminaristas D. Luis Berganzá, D. Bonifacio Olivencia, D. Bernabé de Otalora , D. Juan de Mazarredo, D</t>
  </si>
  <si>
    <t>Lagrange</t>
  </si>
  <si>
    <t>edecanes, ha perdido un brazo. Mr. Lameth, edecán del mariscal Soult, ha quedado herido, y lo mirmo Mr. Lagrange, coronel del 7.® regimiento de cazadores de á caballo. En las notas circunstanciadas que forme el estado mayor se verán las acciones b¿</t>
  </si>
  <si>
    <t>Lain y Coca, Juan</t>
  </si>
  <si>
    <t>Juan Lain y Coca</t>
  </si>
  <si>
    <t>de la parroquia de la ciudad de Bujalance, en el reyno de Córdoba, se servirá avisar c entregarla á D. Juan Lain y Coca, cura párroco de dicha ciudad, ó á D. Juan de Pindemonti, agente de negocios, que vive calle de los Negros,n. 37, quarto principa!. Se desea saber el paradero de Jayme Martí, arti</t>
  </si>
  <si>
    <t>Lajustrcia, Matías</t>
  </si>
  <si>
    <t>Matías Lajustrcia</t>
  </si>
  <si>
    <t>enencia al Alférez D. Josef Infante : en el de Farnesio Avudactía al Teniente, graduado de Capitán, D. Matías Lajustrcia: en el ae Santiago Tenencia al Alférez D. Josef Cueto; y en el de cazadores voluntarios ae España Tenencia Coronela al Teniente Coronel D. Josef Pineda , Sargento . mayor del de h</t>
  </si>
  <si>
    <t>Lake, Lord</t>
  </si>
  <si>
    <t>Lord Lake</t>
  </si>
  <si>
    <t>t, como Comandante en gefe de r.ueí tras, tropas en las Indias orienrales, nombrado para suceder al Lord Lake. El Lord Minto ha prestado ya juramento como Gobernador de los mismos países. En la junta del 29 dé Diciembre la Cámara de los Comunes ha concedido por este año los subsidios nece</t>
  </si>
  <si>
    <t>Lalande</t>
  </si>
  <si>
    <t>a las vidas de Fox, de Pitt, del general Dessaix, de) sultán actual Selin ni, de Baswan-Oglou, y de Mr. Lalande: en la poesía sátira es* drúxulo-1 iteraría contra algunas obras modernas; otra contra los innumerables poetas de España; romance al gallo de Lucena, silva en alabanza de la corte</t>
  </si>
  <si>
    <t>Lamb</t>
  </si>
  <si>
    <t>o sin corrección ninguna el discurso de acción de gracias. v En la Cámara de los Comunes la propuso Mr. Lamb, apoyado por Mr. J. Smith. Mr. Canning: ,,La crisis, dixo, en que nos hallamos es terrible; mas no por eso debemos abandonarnos á la desesperación: todavía tenemos recursos sufici</t>
  </si>
  <si>
    <t>Lambe-prqpuso</t>
  </si>
  <si>
    <t>consequéncia del discurso qye -píonunció ayer el Lord Canciller al abrir la sesión del Parlamento, Mr. Lambe-prqpuso en la Cámara de los Comunes que se diesen gracias á S. M. como se acostumbra en semejantes casos. „ Es preciso confesar, dixo, qne nos hallamos en circunstancias muy críticas,! caus</t>
  </si>
  <si>
    <t>Lamberto Gil</t>
  </si>
  <si>
    <t>alla de oro dedos onzas de peso, con los emblemas por anverso y reverso que acostumbra el jardin, á D. Lamberto Gil y á D. Benito Iglesias, á cada ano la suya por ser iguales en mérito; el segundo de quatro onzas de plataá D. Tomas Rodríguez y á D. Antonio Hernández, á cada uno la suya por el mis</t>
  </si>
  <si>
    <t>las objeciones de sus coopositores y á las que quisieron hacer los concurrentes. Tocó al presbítero D. Lamberto Gil disertar sobre las partes de la fructificación y su uso en los sistemas, y explicar la familia de las cruciformes: á D. Benito Iglesias disertar sobre las plantas híbridas, ó que</t>
  </si>
  <si>
    <t>Lameth</t>
  </si>
  <si>
    <t>ran duque de Berg le han muerto dos caballos. .Mr. Ségur, uno de sus edecanes, ha perdido un brazo. Mr. Lameth, edecán del mariscal Soult, ha quedado herido, y lo mirmo Mr. Lagrange, coronel del 7.® regimiento de cazadores de á caballo. En las notas circunstanciadas que forme el estado may</t>
  </si>
  <si>
    <t>Lancaster</t>
  </si>
  <si>
    <t>as. Esto es lo que se ha podido deducir de las conversaciones del presidente de los Estados-Unidos. Mr. Lancaster, sugeto muy estimado en esta capital, ha ideado y puesto en práctica un método nuevo para enseñar las primeras letras á los niños pobres. En menos de un año, y con poquísimo gasto</t>
  </si>
  <si>
    <t>icado de discípulos. Estos honoríficos testimonios podrán influir en que se generalice el método de Mr. Lancaster» y podrá quizas, mejorarse la enseñanza de los pobres én Inglaterra. HOLANDA. Haya 3. de junio• Ayer mañana salid para París el cadáver de S- A. R. el Príncipe Napoleón Luis en un</t>
  </si>
  <si>
    <t>Lances, Mariscal</t>
  </si>
  <si>
    <t>Mariscal Lances</t>
  </si>
  <si>
    <t>scal Davoust, marchó áTykockzin, adonde se habia retirado el enemigo. El 5.0 cuerpo, mandado por el Mariscal Lances, marchaba hácia Pultusk con la división de dragones Beker. El Emperador se dirigió á Ciechanow con la mayor parte de la caballería de reserva. Paso del Sonna. El General Gardannes</t>
  </si>
  <si>
    <t>; -r-f, . Combate de Pidtusk. • ; Hasta el 26 en la mañana no pudo i legar á la vista de Pultusk el Mariscal Lances. En la noche anterior se habia reunido allí ya todo el cuerpo de Benigs^en; y á las 2 de la madrugada se le incorporaron las divisiones rutas que habían sido batidas en Nasielsk,</t>
  </si>
  <si>
    <t>Lanciego, Julián</t>
  </si>
  <si>
    <t>Julián Lanciego</t>
  </si>
  <si>
    <t>n quisiere nacer postura á las mencionadas fincas concurra ante dicho comisionado, por el oficio de D. Julián Lanciego, escribano de esta cpmísion ; en la inteligencia de que está señalado el remate de estos bienes para el dia 31 del presente. En virtud de comisión del Sr. D. Torquato Antonio Coll</t>
  </si>
  <si>
    <t>Landerdaie, Lord</t>
  </si>
  <si>
    <t>Lord Landerdaie</t>
  </si>
  <si>
    <t>el 20 de Julio. Lord Landerdaie riño á París con -el fin únicamente de romper las negociaciones entabladas por el Conde de Yarmouth ; y en la primera nota supone basas de negociación que siempre han sido desecha</t>
  </si>
  <si>
    <t>Landerdale, Lord</t>
  </si>
  <si>
    <t>Lord Landerdale</t>
  </si>
  <si>
    <t>one la correspondencia entre Mr. Fox y el Principe de Berievento son primero 17 nota* dirigidas por Lord Landerdale, unas al Ministro de Relaciones exteriores , y otras á los Plenipoteneiarios de S. M. I. y R. 2.0 Las respuestas del Príncipe de Benevento y de los Plenipotenciarios Franceses. j.</t>
  </si>
  <si>
    <t>Landestoy, Francisco</t>
  </si>
  <si>
    <t>Francisco Landestoy</t>
  </si>
  <si>
    <t>, llama y emplaza á qualquiera que se estime con derecho á los bienes del concurso de acreedores de D. Francisco Landestoy, para que en el preciso término de 10 meses, contados desde el dia 28 de setiembre último, comparezca á formalizarlo con los documentos que lo comprueben; con prevención que de no</t>
  </si>
  <si>
    <t>Langsdorf</t>
  </si>
  <si>
    <t>s un verano tan hermoso. Las noticias de Kamtichatka dicen que ha llegado ya á aquellas regiones el Dr. Langsdorf, el mismo que acompañó en sus viages áMr. de Krusenstern, y que después fue á Rodjak y á la California con Mr. Resanow. Se asegura que el ministro de lo Interior conde de Kotschub</t>
  </si>
  <si>
    <t>Lannes, Mariscal</t>
  </si>
  <si>
    <t>Mariscal Lannes</t>
  </si>
  <si>
    <t>l Mariscal Augereau marchando hácia Golymin. f El Mariscal Davoust entre Golyiqin y,Pu!tusk. ; , El Mariscal Lannes en Pultusk. ( _ ,:j /■ ¿ . ; En estos dos dias hemos hecho de ,1500 a 1600 prisioneros &gt; y cor gido de 25 á 30 cañones, 3 banderas y un estandarte. ' • El tiempo Ce extraordinario;</t>
  </si>
  <si>
    <t>en Su fuga por lá tercera división del cuerpo del Mariscal Davoust. A las 10 de la mañana atacó el Mariscal Lannes al, enemigo con la división Suchet en primera línea, con la de Gazan en segunda,, y con la división Gudin del tercer cuerpo del exército mandada por el General Daultanne sobre su</t>
  </si>
  <si>
    <t>el General Vandamme, y tos cuerpos de exército de los Mariscales Davoust y Augereau. El cuerpo del Mariscal Lannes cobre el ala izquierda hácia el lado de Thorn. Los cuerpos de los Mariscales Bernadotte y Soult forman el centro.</t>
  </si>
  <si>
    <t>Duque de Berg y el Mariscal Davoust, siendo así que solo fue con la división Suchet del cuerpo del Mariscal Lannes: el regimiento 17.0 de infantería ligera, el 34.0 de línea, el 64.0 y el 88.° son los únicos regimientos, con quienes ha combatido. Preciso es que haya reflexionado muy poco sobre</t>
  </si>
  <si>
    <t>Lapeña, Tomás</t>
  </si>
  <si>
    <t>Tomás Lapeña</t>
  </si>
  <si>
    <t>osofía desde el principio del mundo hasta nuestros días : escrito por el Dr. D. Tomas Lapeña, canónigo de la metropolitana dé Búrgos: 3 tomos en 4.0 á 6o rs. á la rústica.—.Esta obra presenta sumariamente los sistemas filosóficos de todos los pueblos y desde Adan hasta nuestros dia</t>
  </si>
  <si>
    <t>Lapeyrouse</t>
  </si>
  <si>
    <t>nstanciado en que están marcadas hasta ias mas pequeñas bahías. Tambiea ha confirmado la opinión de Mr. Lapeyrouse sobre la imposibilidad de navegar entre esta isla y la costa oriental de Tartaria. La parte septentrional de la isla de Sachin está habitada por tártaros, y la meridional por japo</t>
  </si>
  <si>
    <t>Lapisse, General</t>
  </si>
  <si>
    <t>General Lapisse</t>
  </si>
  <si>
    <t>uadron que los aguarde á pie firme. ■ [ - ' El General Augereaü ha pasado el Vís*1^3 Por Utrata. El General Lapisse ha entrado en Pleusk, arrojando de allí aFenémigo. El Mariscal Sóult hav pasado el Vístula por Vizogrod----_E1 Mariscal Bessieres ilegá ei 18 á Kioi, con el segundo cuerpo dé'rese</t>
  </si>
  <si>
    <t>Laplace</t>
  </si>
  <si>
    <t>ado por medio de mis observaciones los elementos de su órbita; y valiéndome del método ingenioso de Mr. Laplace, he encontrado que el paso de este cometa por su perihelio fue el 19 de setiembre de 1807» á las 6 y 56 minutos de la mañana, tiempo medio en Paris. Su distancia perihélica, toman</t>
  </si>
  <si>
    <t>Lardizabal y Montoya, Manuel</t>
  </si>
  <si>
    <t>Manuel Lardizabal y Montoya</t>
  </si>
  <si>
    <t>Manuel Martínez, del orden de PP. Agustinos, ambos comisionados por dichos cuerpos patrióticos; y á D. Manuel Lardizabal y Montoya, comisionado por el real seminario de Vergara; y ha aprobado igualmente S. A. S. la elección que se ha hecho de la persona de D. Eugenio Luque, actual discípulo observador del ins</t>
  </si>
  <si>
    <t>Laribcissiere, General</t>
  </si>
  <si>
    <t>General Laribcissiere</t>
  </si>
  <si>
    <t>chaban en la vanguardia no les han, dexado que hacer nada. S. M. ha nombrado General de división al General Laribcissiere, oficial de gran mérito, dándole el mando de la artillería de su guardia. &lt; Las tropas del Gran Duque de Wiirtzburgo, compuestas de 2 regimientos sumamente lucidos, forman la guar</t>
  </si>
  <si>
    <t>Larrad Escalada, Manuel</t>
  </si>
  <si>
    <t>Manuel Larrad Escalada</t>
  </si>
  <si>
    <t>icia dé dicha ■villa, que la ha de proveer con la posible brevedad. ¿ Se desea saber el paradero de D. Manuel Larrad Escalada , natural y vecino eh algún tiempo del lugar dé Almarza-, obispado de Osma, que después residía en Sobria, de donde se ausentó. Tiene que percibir en Córdoba algunos intereses de</t>
  </si>
  <si>
    <t>Larrain, Juan Bautista</t>
  </si>
  <si>
    <t>Juan Bautista Larrain</t>
  </si>
  <si>
    <t>squiera que se considere con derecho á los bienes del concurso de acreedores de la testamentaría de D. Juan Bautista Larrain, para que en el preciso término de un año comparezcan por sí, ó por apoderados, á deducirlo en dicho juicio universal con los documentos que le comprueben; con prevención que pasa</t>
  </si>
  <si>
    <t>Las Pozas, Gerónimo</t>
  </si>
  <si>
    <t>Gerónimo Las Pozas</t>
  </si>
  <si>
    <t>er en ellos los árboles, modo fácil de trasplantarlos sin suprimir lar raiz centra!,__ En el dia 17 D. Gerónimo Las Pozas sobre los árboles,silvestres, calidades de terrenos en que se crian con ventajas, y proporciones que presentan muchos montes de nuestro reyno, que hoy se^ hallan enteramente desnu</t>
  </si>
  <si>
    <t>Lasalcette</t>
  </si>
  <si>
    <t>nuevo rey no de Westfalia, todos los papeles y documentos pertenecientes á aquellas dos provincias. Mr. Lasalcette, gobernador general de este electorado, ha publicado hoy, de orden de S. M. el Emperador y Rey, una proclama, en virtud de la qual quedan disueltos los estados que habían gobernad</t>
  </si>
  <si>
    <t>Lascurain, Antonio</t>
  </si>
  <si>
    <t>Antonio Lascurain</t>
  </si>
  <si>
    <t>olid, en el reyno de Nueva-España, se ha servido S. M. promover á capitán al teniente de granaderos D. Antonio Lascurain; á teniente de granaderos al de fusileros D. Ventura Castañeda; á teniente al subteniente de granaderos D. Juan de Lexarza; á subteniente de granaderos al de fusileros D. Ruperto</t>
  </si>
  <si>
    <t>Laserna, Blas</t>
  </si>
  <si>
    <t>Blas Laserna</t>
  </si>
  <si>
    <t>es, y grabado por D. Tomas Enguídanos. Se hallará en la librería de Carsi, calle de la Paz. MUSICA* D. Blas Laserna, compositor de música de los teatros de esta corte, ha establecido un almacén en la calle del Príncipe, núm. 6. Toda la música que el mismo Laserna tenia en el almacén de papel ra</t>
  </si>
  <si>
    <t>Laskarow</t>
  </si>
  <si>
    <t>s fuerzas, y que se verían pronto sucesos de importancia; pero se asegura hoy qué el consejero ruso Mr. Laskarow há conseguido ajustar un armisticio entre turcos y servios. El Emperador Francisco ha hecho un gran regalo al lord Pembrocke, en demostración de lo satisfecho que ha quedado S. M.</t>
  </si>
  <si>
    <t>Laso de la Vega, Antonio</t>
  </si>
  <si>
    <t>Antonio Laso de la Vega</t>
  </si>
  <si>
    <t>-almacén celador en Callosa de Segura, dependiente de la real'fábrica militar de pólvora de Murcia, D. Antonio Laso de la Vega. .. ■ El Rey ha nombrado Coronel del regimiento provincial de Laredo al Capitán de granaderos del mismo cuerpo, graduado de Teniente Coronel &lt;Je, infantería, D. Josef Antonio de T</t>
  </si>
  <si>
    <t>evedo, teniente coronel del de Mon¿ tesa; y en el de Calatrava empleo de alférez al portaestandarte D. Antonio Laso de la Vega. En Amírica. En el batallón de milicias disciplinadas de Mérida de Yucatán se ha dignado el Rey promoverá capitán de granaderos al de fusileros D. Bartolomé de Ribera; á capitanes</t>
  </si>
  <si>
    <t>Latre, Manuel</t>
  </si>
  <si>
    <t>Manuel Latre</t>
  </si>
  <si>
    <t>á los subtenientes D. Miguel Fraxno y Díaz y D. Juan Fraxno y Diaz, y i subtenientes á los cadetes D. Manuel Latre y D. Francisco Sánchez Muñoz y Amat. En el regimiento de caballería del Príncipe se ha servido S. M. conceder empleo de portaestandarte al cadete D. Manuel de Arcos Gallego : en el de</t>
  </si>
  <si>
    <t>Lauderdale, Lord</t>
  </si>
  <si>
    <t>Lord Lauderdale</t>
  </si>
  <si>
    <t>tos de esta correspondencia diplomática. . El Conde de Yarmouth firmó también las primeras notas de Lord Lauderdale; pero aquel Plenipotenciario, que habia entablado la negociación, y la habia continuado siguiendo los principios de Mr. Fox, esto es , franca y sinceramente, pesaroso del nuevo as</t>
  </si>
  <si>
    <t>Launay</t>
  </si>
  <si>
    <t>sel. El Comandante de esquadron Renié , del Regimiento de dragones núm. ó, se ha distinguido mucho. Mr. Launay , Capitán de Ja compañía escogida del mismo Regimiento,, ha sido, muerto. Mr. Boutrau, Edecán del Mariscal Bessieres, há sido herido. Nuestra pérdida es poco considerable, pues so</t>
  </si>
  <si>
    <t>Lauriano Cortes y Olarte, Antonio</t>
  </si>
  <si>
    <t>Antonio Lauriano Cortes y Olarte</t>
  </si>
  <si>
    <t>nto de Llanos, al medio racionero D. Francisco de Borja Romero y Santa María; y para esta resulta á D. Antonio Lauriano Cortes y Olarte. También se ha dignado S. M. nombrar para la plaza de oidor de la audiencia de México, vacante por fallecimiento de D. Félix Diaz Quijada y Ovejero, á D. Melchor Josef de Foncerra</t>
  </si>
  <si>
    <t>Lavadi, Juan</t>
  </si>
  <si>
    <t>Juan Lavadi</t>
  </si>
  <si>
    <t>antander, se servirá participarlo á D. Ramón de Baíleme, vecino y del comercio de dicha ciudad, ó á D. Juan Lavadi, en la misma. libros. Diccionario de medicina y cirugía, ó biblioteca manual médico-quirúrgica, por D. A. B.: obra en donde se recopilan todos los principales conocimientos antigu</t>
  </si>
  <si>
    <t>Lavedan, Antonio</t>
  </si>
  <si>
    <t>Antonio Lavedan</t>
  </si>
  <si>
    <t>to en latín por Josef: Quarin, médico del Emperador Josef ir; traducido y aumentado con notas porel Dr. Don Antonio Lavedan, profesor de medicina y cirugía, cirujano de cámara de S. M. &amp;c. Para hacer ver la utilidad y buena aceptación que ha tenido de los profesores, y particularmente de ios cirujanos</t>
  </si>
  <si>
    <t>Lawrance</t>
  </si>
  <si>
    <t>ta ridicula expedición pueda dársele el nombre de diversión en favor de nuestros aliados &amp;c. &amp;c. El Dr. Lawrance se levantó entonces para hablar con mucho calor contra la parte del discurso de lord Castlereagh, que contenía las persona^ Edades impertinentes contra su amigo Mr. Windham y cont</t>
  </si>
  <si>
    <t>Lawrence</t>
  </si>
  <si>
    <t>Ayer fue quando empeñaron á correr Jas primeras voces, y anoche, en la sesión de la cámara baxa, el Dr. Lawrence, dirigiéndose á los ministros, les estrechó á que di-* xesen lo que sabían en el particular. Respondieron con medias palabras; pero el correo de Alemaoiadc hoy ha disipado enteram</t>
  </si>
  <si>
    <t>Lázaro de las Heras</t>
  </si>
  <si>
    <t>ferirle plaza de ministro de capa y espada del consejo de Indias. En consideración á los méritos de D. Lázaro de las Heras se ha servido S. M. concederle los honores de intendente de provincia. En América. El Rey se ha servido conferir la comandancia del castillo de S. Carlos de la Cabaña al teniente</t>
  </si>
  <si>
    <t>Lázaro Pablos</t>
  </si>
  <si>
    <t>eranas en los cuerpos de milicias disciplinadas del reyno de Gcatemala, en el batallón de Cartago á D. Lázaro Pablos; y en los escuadrones de dragones de S. Miguel á D. Antonio Culebras, de Yoro á D. Juan Dengo, de Sonsonate á D. Gregorio Royo, de Nueva-Segovia á D. Francisco Texedor, todos sarg</t>
  </si>
  <si>
    <t>Lázaro Robles</t>
  </si>
  <si>
    <t>promover á Teniente Coronel al Capitán D. Rafael de Zúñjga; á Capitán de granaderos al de fusileros D. Lázaro Robles; á Capitanes de fusileros á los Tenientes D. Jorge Rodríguez, D. Pablo Oligos, D. Juan Nepomuceno Nuñez y D. Silvestre Díaz Granados; á Teniente de granaderos al de fusileros D. M</t>
  </si>
  <si>
    <t>Lázaro Sevillano</t>
  </si>
  <si>
    <t>rroquia de S- Nicolás de la ciudad de Buenos-Ayres: para otra de la de Quito, vacante por muerte de D. Lázaro Sevillano, á D. Juan Estanislao de Guzman: para la radon que este dexa á D. Josef Gabriel Batallas, y para la media-nracion que este obtiene á D. josef Isidro Camacho, cura rector de la mis</t>
  </si>
  <si>
    <t>Lazcano, Joaquín</t>
  </si>
  <si>
    <t>Joaquín Lazcano</t>
  </si>
  <si>
    <t>Pamplona, vacantes por muerte de D. Manuel Maya García y Don Francisco Torres, á D. Tadeo Navaz y á D. Joaquín Lazcano. El Rey se ha servido conferir en el regimiento de infantería de Asturias la comandancia del tercer batallón al sargento mayor D. Antonio Falques : en el de la Princesa compañía a</t>
  </si>
  <si>
    <t>Leal de Ibarra, Antonio</t>
  </si>
  <si>
    <t>Antonio Leal de Ibarra</t>
  </si>
  <si>
    <t>rto en él él alférez de fragata D. Josef Rivas* y heridos los tenientes de navio D. Cándido Lasala, D. Antonio Leal de Ibarra, el de fragata D. Benito Correa, y el alférez de la misma clase D. Manuel Viüavicencio, y 5 oficiales mas de los otros cuerpos. El comandante Concha recibió un balazo en el sombre</t>
  </si>
  <si>
    <t>Leandro de Solis, Joaquín</t>
  </si>
  <si>
    <t>Joaquín Leandro de Solis</t>
  </si>
  <si>
    <t>María Izquierdo, en atención á sus méritos y distinguidos servicios. También ha concedido el Rey á D. Joaquín Leandro de Solis, teniente primero de asistente de la ciudad de Sevilla, honores de alcalde de la Quadra de aquella audiencia. En América. En el batallón de milicias disciplinadas de Campeche se h</t>
  </si>
  <si>
    <t>Leandro Moran</t>
  </si>
  <si>
    <t>los premios merecidos á juicio de ios profesores.__ En la escuela de primeras letras, del cargo de D. Leandro Moran, han merecido él primer premio, en la clase de lectura, D. Antonio Quadros,el segundo D. Josef Morales: en la de escritura D. Marcelino Junquera el primero , D. Joaquín Dolzel seg</t>
  </si>
  <si>
    <t>Leard, Claudio</t>
  </si>
  <si>
    <t>Claudio Leard</t>
  </si>
  <si>
    <t>curso de acreedores de D. Claudio Leard, para que en el perentorio término de 8 meses acudan á formalizar su derecho con los documentos que lo comprueben; baxo la prevención que no verificándolo, las fianzas que esten o</t>
  </si>
  <si>
    <t>Lecchi, General</t>
  </si>
  <si>
    <t>General Lecchi</t>
  </si>
  <si>
    <t>sión de coraceros nuevamente formada, baxo el mando del General Spagne..__ La división Italiana del General Lecchi se reunía en. Magdeburgo. _ El cuerpo del Gran Duque de Badén está en Stettin; de aquí á 15 dias podrá entrar en línea. El Príncipe heredero ha seguido constantemente el quartel g</t>
  </si>
  <si>
    <t>Lecoc</t>
  </si>
  <si>
    <t>ION DEL RIN. Francfort 8 de diciembre. Hace dos dias que paso por aqui el consejero íntimo prusiano Mr. Lecoc, que va á París con Una comisión del Príncipe Guillermo de Prusia. Las cartas del Norte aseguran que el embaxador de Inglaterra ha salido ya de Petersburgo, y que la Suecia va á t</t>
  </si>
  <si>
    <t>Lefebvre</t>
  </si>
  <si>
    <t>os en todo el norte* GRAN BRETAÑA. Londres j de agosto. En una de las dirimas sesiones de la cámara Mr. Lefebvre pronunció un largo discurso, en que intentó probar que la vacuna no presentaba todavía mas que resultados dudosos, y que aun quatldo produxese un efecto mas cierto y seguro, no se</t>
  </si>
  <si>
    <t>Lefebvre, General</t>
  </si>
  <si>
    <t>General Lefebvre</t>
  </si>
  <si>
    <t>erónimo llegó el 9 á Hundsfeld con la división del Gene, ral Mihucci; y la caballería del mando del General Lefebvre. Se echó un uente en Cosel, y parte de la división Minucci pasó á la oriíla izquierda las órdenes del General Vandamme. El quartel general del Prííi^ipe se estableció el ib en Lis</t>
  </si>
  <si>
    <t>Legendre</t>
  </si>
  <si>
    <t>l. En la junta pública, que la misma clase ha celebrado el 5 del corriente, baxo la •presidencia de Mr. Legendre, leyó Mr. Vauquelin una memoria circunstanciada sobre este asunto, tan útil como curioso. Mr. Delambre leyó los elogios históricos de Brisson y de Coulomb; Mr; Cuvier el de Adanso</t>
  </si>
  <si>
    <t>Legorburo, Vicente</t>
  </si>
  <si>
    <t>Vicente Legorburo</t>
  </si>
  <si>
    <t>Mier, y á subtenientes al sargento primero distinguido D. Francisco Prats y al soldado distinguido D. Vicente Legorburo. .. ........... ■ .1 ............ —i.. .... i ■ n i i .............. ———O Acerca de la máquina hidráulica, anunciada en gazeta de 23 del próximo pasado, se previene que es necesar</t>
  </si>
  <si>
    <t>Legrand, General</t>
  </si>
  <si>
    <t>General Legrand</t>
  </si>
  <si>
    <t>hemia y en Mor avía. Bareuth 6 de enero. La gazeta de esta ciudad ha publicado hoy una proclama del General Legrand, Gobernador general del país de Bareuth, en la que se dice que todo individuo,de qualquier estado que sea, que extienda una noticia falsa, sin que pueda justificar el origen de el</t>
  </si>
  <si>
    <t>Lejarza, Juan</t>
  </si>
  <si>
    <t>Juan Lejarza</t>
  </si>
  <si>
    <t>a Guerra; á teniente ai subteniente D. Agustín Iturbe, yá subteniente de granaderos ál de fusileros D. Juan Lejarza.</t>
  </si>
  <si>
    <t>Lemarque, General</t>
  </si>
  <si>
    <t>General Lemarque</t>
  </si>
  <si>
    <t>Ingleses se habían atrincherado en Maratea, donde han sido envueltos y he-, chos prisioneros por el General Lemarque. Entre ellos están los caudillos de. insurrección Guerighá, Stoduti, Tomasini y Mandarini. Se ha autorizado al General Lemarque para perdonar, y con efecto ha perdonado á los tres</t>
  </si>
  <si>
    <t>Lemarrois, General</t>
  </si>
  <si>
    <t>General Lemarrois</t>
  </si>
  <si>
    <t>, cuyo mando había dado el Emperador al General Rapp, encontró á una legua deNa^ieslkal enemigo. El General Lemarrois marchó con dos Regimientos de dragones rodeando un dilatado bosque para cortar la vanguardia Rusa. Este movimiento se executó con la mayor prontitud; pero el enemigo, viendo que e</t>
  </si>
  <si>
    <t>Lempereur, Luis Simón</t>
  </si>
  <si>
    <t>Luis Simón Lempereur</t>
  </si>
  <si>
    <t>el viento y á la distancia entre ambos parages. El 5 del corriente ha fallecido Luis Simón Lempereur, grabador del rey y de S. M. 1. y R. en esta ciudad, donde nació en ió de mayo de 1728. Las muchas obras apreciables que han salido de su buril, y los excelentes discípulos que ha formado,</t>
  </si>
  <si>
    <t>Lenard y Fonte, Pedro Cayetano</t>
  </si>
  <si>
    <t>Pedro Cayetano Lenard y Fonte</t>
  </si>
  <si>
    <t>e Generalísimo Almirante en los alegres dias de su plausible exaltación 4 esta última dignidad, por D. Pedro Cayetano Lenard y Fonte. La lectura de esta memoria interesa generalmente á todos: en ella se manifiesta con reflexiones poderosas y repetidos hechos la causa principal del descenso del rayo sobre las to</t>
  </si>
  <si>
    <t>Lenoir</t>
  </si>
  <si>
    <t>eltas, galos y francos. Tal es el objeto de las tareas de la academia céltica, de que es presidente Mr. Lenoir, director del museo imperial de monumentos franceses. La Reyna de Nápoles se ha trasladado de su casa de campo de Morfontaine al sitio de Fontainebleau. Ya parece que están conclu</t>
  </si>
  <si>
    <t>Leo-rPchS'Sagasta</t>
  </si>
  <si>
    <t>isiere hacer postura acuda álá esc ribánía de D. Antonio López de Salazar;' Por procidencia del Sr. D. Leo-rPchS'Sagasta teniente corregidor de ésta villa* ,1 de 11 déPcórríente, se ha mandado sacar á pública-subasta, por término de'30 dias contados desde dicha fecha, una casa sita eti ésta corte, c</t>
  </si>
  <si>
    <t>Leoa</t>
  </si>
  <si>
    <t>tasada en 92,824 rs., se ha señalado el día 14 del comente, á las puertas.de, la audiencia del Sr. D. Leoa de~Sagasta, teniente corregidor, de esta villa, p.or ante el, escribano de su número D. Claudio Sanz. Ei se/íox marques de Fuerte-Híjar ,.del consejo de S. M. en. el,supremo de Cas</t>
  </si>
  <si>
    <t>León de Erize, Luis</t>
  </si>
  <si>
    <t>Luis León de Erize</t>
  </si>
  <si>
    <t>Reyna tenencia al subteniente D. Miguel Carabaño; y en ekde-Africa subtenencia de bandera al cadete D. Luis León de Erize." ' • ' •- En el regimiento de dragones de Almansa se ha servido S. M. conceder tenencia al alférez D. Josef María Araujo: en el die Pavía empleo de portaguión al sargento primero</t>
  </si>
  <si>
    <t>León de Sagasta</t>
  </si>
  <si>
    <t>l referida Bergán*á, calle Mayor, portal dé S. Isidro. r ! ^ / r V* ... ^ v Por providencia del Sr. D. León de Sagasta, Teniente Corregidor de" esta villa, te manda sacar á pública subasta un oficio de Receptor, de los 100 dé los Reales Consejos y comisiones,. tasado cn¡ 14® rs. Quien quisiere hac</t>
  </si>
  <si>
    <t>lcalde de casa y corte, por la escribanía de D. Miguel García de la Madrid. Por providencia del Sr. D. León de Sagasta, teniente corregidor de esta villa, juez de la quiebra hecha por D. Bernardo Solary y compañía, de este ccmc'cio, y escribanía de D. Ramón de Milla Cuellar, se ha mandado sacar á</t>
  </si>
  <si>
    <t>, llamada de la Torrecilla, con 27,186 pies, tasada en 52,923 rs. 31 mrs. * Por providencia del Sr. D. León de Sagasta, teniente corregidor de esta villa, de 5 de marzo próximo pasado , y escribanía de D. Ramón García Ximenez, estan mandadas sacar á pública subasta dos'cssás sitas en esta corte ,</t>
  </si>
  <si>
    <t>do en 339&gt;og8 rs.; y se ha señalado el dia 28 d&lt;*l corrieme para su remate. Por providencia del Sr. D. León de Sagasta, teniente corregidor de esta villa, y escribanía de D. Ramón de Mi.la Cuellar, se ha mandado sacar á pública subasta, para pago de acre d res, y por término de gó días contados de</t>
  </si>
  <si>
    <t>e D Juan Garrido; previniéndose que su remate se ha señalado para el din 11 de Mayo próximo. El Sr. D. León de Sagasta, teniente corregidor de esta villa, ha señalado el 24 del corriente, en las puertas de su audiencia, para el remate de das tierras y viñas sitas en la villa del Prado, y son las s</t>
  </si>
  <si>
    <t>a ; previniéndose que:está señalado el día 30 del corriente para su remate. Por providencia del Sr. D. León de Sagasta, teniente corregidor de esta villa, se ha mandado sacar á pública subasta, por término de 30 dias contados desde el 7 del pasado,; para pago de-un acreedor, varias fincas existent</t>
  </si>
  <si>
    <t>metálica, y lo restante en vales reales. Quien quisiere hacer dicha mejora,lo executará ante el Sr. D. León de Sagasta, teniente corregidor de esta villa, por la escribanía de D. ILamon García Ximenez. Por la audiencia del Sr. D. Torquato Antonio Collado, teniente corregidor de esta villa , y escr</t>
  </si>
  <si>
    <t>n dinero metálico, y lo demas en vales reale . Quien quisiere hacer dicha mejora, acuda ante el Sr. D. León de Sagasta, teniente corregidor de esta villa, por la escribanía de D. Ramón García Ximen- z. A voluntad de sus dueños, y en virtud de providencia del Sr. D. León de Sagasta, teniente correg</t>
  </si>
  <si>
    <t>mejora, acuda ante dicho señor, por la escribanía que exerce D. Juan Raya. Por providencias del Sr. D. León de Sagasta, teniente corregidor de esta villa, confirmadas por executoria del supremo consejo y escribanía numerarla de D. Ramón de Milla Cuellar, se ha mandado sacar nuevamente á pública su</t>
  </si>
  <si>
    <t>en 42,781 rs. en vales reales, que es en la que últimamente se ha retasado, por providencia del Sr. Don León de Sagasta, teniente corregidor de esta villa, se ha admitido y señalado para su remate el dia. 10 del coir lente. Quien quisiere mejorar dicha postura, acuda</t>
  </si>
  <si>
    <t>n inteligencia de que para su remate está señalado el 2 2 de Julio próximo. Por providencia del Sr. D. León de Sagasta, y escribanía da I&gt;. Juan López Fando, se ha mandado sacar nuevamente á pública subasta por. término de 15 dias dos casas sitas en esta corte y sus calles de la Flor baxa y del Po</t>
  </si>
  <si>
    <t>to, que empezáron á correr en et que recayó la aprobación. Quien quisiere hacerla acuda ante el Sr. D. León de Sagasta, teniente corregidor de esta villa1, por la escribanía que exerce D. Juan Antonio de Urraza. El señor, marques de Fuerte-Híjar, del consejo Real de S. M., juez protector y privati</t>
  </si>
  <si>
    <t>l quarto, quedando en 61,250 de la misma moneda. Quien quisiere hacer otra mejora acuda ant# el Sr, D. León de Sagasta, teniente corregidor de esta villa, por la escribanía de D. Juan Antonio de Urraza; advirtiéndose cster señalado para su nuevo remate el dia 28. del corriente. Por la comisión rea</t>
  </si>
  <si>
    <t>contados desde el 7 del corriente t ante el señor teniente corregidor D. León de Sagasta, por la escribanía de D. Miguel Gonzalo. Por providencia del Sr. IX León de Sagasta, teniente corregidor de esta villa, se ha mandado sacar á pública subasta, por término de 15 di</t>
  </si>
  <si>
    <t>al cumplimiento de los 30 de la subasta, contados desde el 18 del presente. Por providencia del Sr. D. León de Sagasta, teniente corregidor de esta villa, y escribanía de D. Ramón de Milla Cueilar, se ha mandado publicar nuevamente por otros 15 días mas una casa sita en la villa de Hortaleza, en l</t>
  </si>
  <si>
    <t>León de Sagásta</t>
  </si>
  <si>
    <t>140,236 rs. Quien quisiere hacer -postura acuda ante dicho señor. ' * , . Por la audiencia del Sr. D. León de Sagásta, teniente corregidor de esta villa, ys.escribanía de D.: Tomas dé Sancha.y Prado, se han mandado sacar á pública subasta, por término de 1 5 dias contados desde el 30 de julio últ</t>
  </si>
  <si>
    <t>ita en esta corte, calle de la Cabeza, núm. 24;, manz. 37, tasada en 107,937 rs., acuda ante el Sr. D. León de Sagasta, teniente corregidor de ésta villá-¿ y escribanía de D. Alexandro Gutiérrez; previniéndose que para su'rematc está scñalado el dia rg del corriente. AVISOS. En 2 2 de junio de est</t>
  </si>
  <si>
    <t>o convento de religiosas sebre justificar la identidad de un crédito á favor suyo. Por auto del Sr. D. León de Sagasta, teniente corregidor de esta villa, y escribanía de D. Casimiro Antonio Gómez, se manda que los que tengan derecho á un censo perpetuo de 4 rs. y una gallina, ¡mDucsto en una casa</t>
  </si>
  <si>
    <t>ado su remate para el dia 9 del próximo setiembre. Por providencia &lt;fel Sr. I&gt;. León de Sagasta, teniente corregidor de esta villa, se ha mandado sacar á pública subasta, por término de 30 dias contados desde el 18 del presente, dos tierras sitas en término del lugar de Valíecas, la u</t>
  </si>
  <si>
    <t>ñalar el día 15 del corriente, á las 12 de su mañana, en dicha escribanía. Por la audiencia del Sr. D. León de Sagasta, teniente corregidor de esta villa, y escribanía del número de D. Miguel Gonzalo, se está subastando una casa sita en la calle de Sta. Isabel, núm. 12, manz. 5, tasada en 90,514 r</t>
  </si>
  <si>
    <t>orriente en las casas consistoriales de dicho pueblo de Cedrillas. En virtud de providencia del Sr. D. León de Sagasta, teniente corregidor de esta villa, y para pago de cierto acreedor, se ha mandado sacar á pública subasta una casa sita en esta corte y calle del Sol, núm. 3, manz. 80, tasada en</t>
  </si>
  <si>
    <t>er postura acuda á la escribanía del número de D. Antonio López de Salazar. Por providencia del Sr. D. León de Sagasta, teniente corregidor de esta villa, y escribanía numeraria de D. Ramón de Milla Cuellar, se ha mandado publicar nuevamente una casa sita en esta corte, calle del Lobo, núm. 9, man</t>
  </si>
  <si>
    <t>circunstancias y hacer postura, acuda ante dicho señor y citada escribanía. Por providencia del Sr. D. León de Sagasta, teniente corregidor de esta villa, se ha mandado sacar nuevamente á pública subasta, per término de 15 dias contados desde el 16 del presente, un sitio erial en la calle de la Ve</t>
  </si>
  <si>
    <t>Agustín de Goycoechca, del comer? $io, frente á las gradas de S. Felipe. En virtud de auto del Sr. D. León de Sagasta, teniente corregidor de esta villa, y executoria de los señores del real y supremo consejo de Castilla, se cita, llama y emplaza á D. Miguel Perez Girón, D. Simón Perez, D. Pedro</t>
  </si>
  <si>
    <t>o haciéndolo, y pasado dicho término, se declarará por bien hecho el remate y pago referido. El Sr. D. León de Sagasta, teniente corregidor de esta villa, ha señalado el 24 del presente para el remate de una caía sita en la calle del Sol , núm.3, manz. 80,</t>
  </si>
  <si>
    <t>r postura, acuda á la escribanía de número de D. Antonio López de Salazar. Por la audiencia del Sr. D. León de Sagasta, teniente corregidor de esta villa» y escribanía de número de D. Tomas de Sancha y Prado, se ha mandado sacar á pública subasta, por término de t 5 dias contados desde 15 del corr</t>
  </si>
  <si>
    <t>n á correr y contarse desde el 2 del presente. Quien quisiere hacer dicha mejora, acuda ante el Sr. D. León de Sagasta, teniente corregidor de esta villa, por la escribanía del número de D. Miguel Gonzalo. Por la audiencia del Sr. D. Torquato Antonio Collado, teniente corregidor dé esta villa, y e</t>
  </si>
  <si>
    <t>mate el jueves 12 de noviembre próximo en la audiencia de dicho señor juez. Por providencia del Sr. D. León de Sagasta, teniente corregidor de esta villa, se ha mandado sacar á pública subasta una casa sita en el lugar de Fuencarral, calle que llaman de S. Roque baxa, apreciada en 9403 rs. Quien q</t>
  </si>
  <si>
    <t>y señalado el término de 30 dias para la puja del quarto. Quien quisiere hacerla, acuda ante el Sr. D. León de Sagasta, por la escribanía del número de D. Juan Antonio Urraza. Por providencia del Sr. D. Torquato Antonio Collado, teniente corregidor de esta villa, se vende una tierra en término del</t>
  </si>
  <si>
    <t>cxcrce D. Juan Raya; y está señalado para su remate el día 20 de este mes. Por providencia del Sr. D. León de Sagasta, teniente corregidor de esta villa, se ha señalado gl día 21 del corriente para el remate de una casa sita en esta corte, calle del Sol, núm. 2, manz. 80, tasada en 44,160 rs. Qui</t>
  </si>
  <si>
    <t>n la calle de la Abada de esta corte, núm. .18, manz. 358, tasada en 432,836 rs., acuda ante el Sr. D. León de Sagasta, teniente corregidor de esta villa, por la escribanía de número de D. Claudio Sanz, dentro del término de 15 dias contados desde el 14 del presente. AVISOS. Se halla vacante el ma</t>
  </si>
  <si>
    <t>sita en la calle de Ita de esta corte,núm. 1 2, manz. 374, tasada en 86,828 rs. , acuda ante el Sr. D. León de Sagasta, teniente corregidor de esta villa, por la escribanía del número de D. Diego Benigno. • AVISOS. I - O . ’ ' ' El 5 de noviembre próximo pasado remitió D. Gregorio de Sa lazar, apo</t>
  </si>
  <si>
    <t>1249 Por providencia dei Sr. D. León de Sagasta, teniente corregidor de esta villa, y escribanía del número de D. Miguel Gonzalo, se cita, llama y emplaza á D. Ignacio Ladrón de Pallas, como heredero de Doña María Josefa de Her</t>
  </si>
  <si>
    <t>S. Marcos, núm. 1, manz. 308, tasada en 67,209 rs. Quien quisiere hacer postura, acuda ante el Sr. D. León de Sagasta, teniente corregidor de esta villa, por la escribanía de su número, que exerce D. Juan Raya. Está señalado para su remate el dia 9 del presente. Por la audiencia del Sr. D. Torqua</t>
  </si>
  <si>
    <t>Benot, vecinos dé dicha villa, tasada en 79,846 rs. Quien quisiere hacer postura, acuda ante el Sr. D. León de Sagasta, teniente corregidor dé esta villa, por la escribanía del número de Don Miguel Gonzalo. El señor intendente de esta provincia, por su decreto dé 23 de noviembre próximo pasado, ha</t>
  </si>
  <si>
    <t>u ausencia y rebeldía á lo que haya lugar. ■t En virtud de providencia de i.° del corriente del Sr. D. León de Sagasta, teniente corregidor de esta villa, y escribanía del número de D.Jacobo Manuel Manrique, se ha mandado que al término de 30 días, comparezcan todos los que conceptuasen tener dere</t>
  </si>
  <si>
    <t>Doña María Felipa de Diego, y en virtud de providencia del señor teniente corregidor 4e esta villa D. León de Sagasta, ante el escribano de su número D. Jacobo,Manrique, se han mandado sacar á pública subasta, por término de 30 dias contados desde cí 17 d,e noviembre</t>
  </si>
  <si>
    <t>dias, señalándose para su remate el sábado 9 de enero próximo á las puertas de la audiencia ¿el Sr. D León de Sagasta, teniente corregidor de esta villa, por la escribanía numeraria de L*. Ramón de Milla Cuellar. Quien quisiere hacer mejora, acuda ante dicho señor, por la citada escribanía. Para</t>
  </si>
  <si>
    <t>León, Pedro</t>
  </si>
  <si>
    <t>Pedro León</t>
  </si>
  <si>
    <t>Vejarano y Paniagua; y para la ración que se halla vacante en la catedral de Córdoba, por muerte de D. Pedro León, 4 D, Josef Joaquín Mozuelo, medio racionero de la misma iglesia. En el regimiento de reales guardias de infantería Walona se ha dignado el rey conceder el empleo de primer ayudan</t>
  </si>
  <si>
    <t>Leon, Vicente</t>
  </si>
  <si>
    <t>Vicente Leon</t>
  </si>
  <si>
    <t>Muert. 122 ... 11. Vicente Leon ......... de Josc:f. ....... Valencia....................... '796 .. Muert. 575"·33· Vicente B"cza........ de Antonio... Callosa de OrihucIa....... 1797.• M</t>
  </si>
  <si>
    <t>Leonardo Izquierdo, Manuel</t>
  </si>
  <si>
    <t>Manuel Leonardo Izquierdo</t>
  </si>
  <si>
    <t>lem para una canongía de la colegial de Alicante, diócesi de Orihuela, vacante por fallecimiento de D. Manuel Leonardo Izquierdo ; y á D. Pastor Bernardo Barrachina para un beneficio de la parroquial de Xerica, diócesi de Segarte, vacante por muerte de D. Josef Míaguet. . ■ , El Rey se ha servido conferir e</t>
  </si>
  <si>
    <t>Leoncio Belb</t>
  </si>
  <si>
    <t>ente de granaderos al de fusileros Don Agustín Chichery; y en el de Traxler á Subteniente al Cadete D. Leoncio Belb. En el regimiento de caballería de la Reyna se ha servido S. M. conceder Tenencia al Alférez D. Josef Infante : en el de Farnesio Avudactía al Teniente, graduado de Capitán, D. Ma</t>
  </si>
  <si>
    <t>Leoncio Telíez Cano</t>
  </si>
  <si>
    <t>xtensión y demas circunstancia*. El 20 de junio de este año lo bendixo solemnemente el cura párroco D. Leoncio Telíez Cano , con asistencia del clero de esta villa é inmediaciones, de iodo el ayuntamiento, y de un numeroso concurso, i Llerena i.° de octubre. La ciudad de Llerena, guiada del particular</t>
  </si>
  <si>
    <t>Leonor Pérez de Arraciel</t>
  </si>
  <si>
    <t>ayetano Franques, D. Pascual &lt;Gisbert,T&gt;. Andrés de A yala,D.Félix deRivas, las memorias deVargas y Doña Leonor Perez de Arraciel, á quienes les está comunicado traslado de lo alegado por D Miguel Maria de Parada, testamentario y heredero de la marquesa de Virto, con fecha de 2 2 de mayo del año pasado de 18</t>
  </si>
  <si>
    <t>Leovigildo de la Oliva</t>
  </si>
  <si>
    <t>renovado con el nám. 180873, lleno en cabeza de D. Juan Ruiz del Castillo, á la ciudad de Granada á D. Leovigildo de la Oliva, presbítero en dicha ciudad. Adjunto remitió el recibo de los intereses de dicho vale para tomar la firma del interesado, el qual tenia el núm. 3672, y salía con el registro 74; y</t>
  </si>
  <si>
    <t>Lequericá y Riofrio, Lorenzo María</t>
  </si>
  <si>
    <t>Lorenzo María Lequericá y Riofrio</t>
  </si>
  <si>
    <t>Fe se ha servido S. M. promover á capitán al teniente D. Angel Palacios; á teniente al subteniente D. Lorenzo María Lequericá y Riofrio, y á subteniente á D. Francisco Escudero y Carrion, vecino de la jurisdicción de las mismas compañías. En conseqüencia del aviso que se dio al público por este periódico en 22 de</t>
  </si>
  <si>
    <t>Lerin Bracamonte, Cayetano</t>
  </si>
  <si>
    <t>Cayetano Lerin Bracamonte</t>
  </si>
  <si>
    <t>ha servido nombrar para una canongía de la metropolitana de Santiago, vacante por fallecimiento de D. Cayetano Lerin Bracamonte, á D. Rafael López Lago, racionero de la misma: para otra canongía de la catedral de Palencia, vacante por muerte de D. Juan Francisco FlorezVillamil, á D. Jacinto García Lozano,</t>
  </si>
  <si>
    <t>Lessacier, Alexo</t>
  </si>
  <si>
    <t>Alexo Lessacier</t>
  </si>
  <si>
    <t>enientes de compañía á los de bandera D. Pedro Ker«ion, D. Diego Barredo, D. Henrique deGrand-pré y D. Alexo Lessacier; y á Subtenientes de bandera á los Cadetes D. Juan Josef de Noricga , Don Pedro de Vegas y D. Martin Palao, y al Sargento primero D. Josef Urgullo. Observaciones sobre la cosecha</t>
  </si>
  <si>
    <t>Lestocq, General</t>
  </si>
  <si>
    <t>General Lestocq</t>
  </si>
  <si>
    <t>T©2 , , yw de todas partes á bayonetazos. El General Lestocq, viendo e! corto número de tropas que le habían acorné ¿ido , quho recobrar la ciudad; pero después*de haberla atacado suc¿;ivíiíii'‘fltó quatro veces aquella misma noche, y siemp</t>
  </si>
  <si>
    <t>para la misma ciudad, para donde: salió también el Rey el dia 6; y las reliquias de la división del General Lestocq retrocedieron hacia esta plaza , dexando en Koenisberg 2 batallones y una compañía de inválidos. El ministerio del Rey de Prusia se compone de las personas siguiente» El General Z</t>
  </si>
  <si>
    <t>Ley, Francisco</t>
  </si>
  <si>
    <t>Francisco Ley</t>
  </si>
  <si>
    <t>lás Bárfantú La estampa no se pagará hasta que sea entregada. vbntasJudiciaz.es* Por providencia de D. Francisco Ley va, regente de la real audiencia de Extre* madura, y juez comisionado para la venta de la debesa.de Belvis de la Sierra, existente en término del lugar de Salorino., administració</t>
  </si>
  <si>
    <t>Liborio Belefía</t>
  </si>
  <si>
    <t>la encomienda de Palomas, de la órden de Santiago, en Extremadura, acuda á tratar de su ajuste con D. Liborio Belefía,agente de negocios en esta corte, que se halla con los poderes competentes para ello, y vive cálle del Mesón de Paredes, número 5, quarto segundo. 2 LIBROS. f Elementa physicae, c</t>
  </si>
  <si>
    <t>Lidiard</t>
  </si>
  <si>
    <t>uertos, entre ellos el comandante de la fragata Mr. Evertz, yrofetos tantos heridos. A la salida de Mr. Lidiard no se sabia aun la pérdida de la guarnición,, que se defendió con mas valor que fortuna.—— El comandante ingles halria señalado, el dia 7 para que los habitantes de la isla, que l</t>
  </si>
  <si>
    <t>Lieven, General</t>
  </si>
  <si>
    <t>General Lieven</t>
  </si>
  <si>
    <t>r de ella á Murat-Bek, natural de la misma provincia. DINAMARCA. Copenhague jo de Diciembre. . . El General Lieven , al servicio de la Rusia, que llegó aquí- hace algunos dias á preparar lo necesario para quando viniese la Princesa de SaxoniaWeymar, recibió ayer órded de marchar inmediatamente</t>
  </si>
  <si>
    <t>Limera, Santiago</t>
  </si>
  <si>
    <t>Santiago Limera</t>
  </si>
  <si>
    <t>'t- í.v'3: i¿v . ;U3« yv , *.»r • *.• „-vo i fí»-5j ir. ^¡«/JQIaaad a¿&gt;3$, mvtmír'é^ Vl; *' ' * \ ' Don Santiago Limera*, comandar) re de; Us/q^rzas españplas, .ep Buenos* * Aytes &gt; ha dado cuénta/al SaBem-jv. $r ^tPftficipe Qei^rajis^p .^tmiraht^ dgl glorioso suceso dé lasarma*&lt;der$. .M.fcjicjel e</t>
  </si>
  <si>
    <t>Limmerick, Lord</t>
  </si>
  <si>
    <t>Lord Limmerick</t>
  </si>
  <si>
    <t>de un país. El noble lord habla en seguida muy por menor sobre las reclamaciones de los católicos. Lord Limmerick, al paso que apoya el bilí, censura el gobierno del duque de Bedford, asegurando que si este hubiera proclamado en una sola</t>
  </si>
  <si>
    <t>Lindholm</t>
  </si>
  <si>
    <t>se dice que los navios nuestros que hay en Noruega han apresado muchas naves de comercio inglesas. Mr. Lindholm, ayudante de S, A. el Príncipe Real, llegó ayer de París á Kiel, y se asegura que ha tradiio una carta del Emperador de los franceses para el Príncipe Real, concebida en los térmi</t>
  </si>
  <si>
    <t>Linier, Santiago</t>
  </si>
  <si>
    <t>Santiago Linier</t>
  </si>
  <si>
    <t>*‘ó Montevideo; con acuerdo d«&gt;¡la' !Juntaed e i Gñert» ; en t legó c 1 mando de la - expedición á: D. Santiago Linier,] quieiii ofrecidtdesde lahcolonia del Sacra mentoy¿que: oonr.yoo hombres escogidos:; nercdiuipsixt arlia. lacCápital; pot fe idjfspbsicioiríy deifdntentó enrqiie ssé -hallaba: $u</t>
  </si>
  <si>
    <t>la reconquista: R, . Que el mando de la ciudad y fortaleza se le confirió por aclamación general á D. Santiago Linier, para lo que se juntáron ios Cabildos y Audiencia, con los votos de todo el vecindario que estaban en la plaza, en cuyo mando permanece , no; obstante de haber querido el Virey ve</t>
  </si>
  <si>
    <t>Ei dia i.° de Agosto hice proclamar al exército la oreen siguiente : • Don Santiago Linier ‘ y Bremont, Caballero de Ja Orden de, S. Juan, Capitán de Navio de la Real Armada, y Comandante general ,ck las fuerzas de mar y tierra destinadas para la reconquista de Buenos-A</t>
  </si>
  <si>
    <t>Liniers, Santiago</t>
  </si>
  <si>
    <t>Santiago Liniers</t>
  </si>
  <si>
    <t>ión de honor, sobre cuyo particular hará la debida reclamación el señor comandante general de armas D. Santiago Liniers, con quien deberán VV. EE. entenderse en todas las materias de guerra, para lo que se halla legítimamente autorizado. Dios guarde á VV. EE. muchos años. Buenos-Ayres 2 de marzo de</t>
  </si>
  <si>
    <t>irmas de los alcaides. = Sres. Ex anos, generales de mar y tierra.” ' Oficio del comandante general D. Santiago Liniers. ,, Excmos. Sres: Siento qne la primera vez que tengo el honor de escribir á VV. EE. sea con el triste motivo de tener que reconvenirles sobre Ips procederes de dos gefes de su na</t>
  </si>
  <si>
    <t>para premiar tan extraordinarias muestras de lealtad á la Ciudad, así como los servicios hechos por D. Santiago Liniers y de xas oficiales, ha declarado que, ademas del epíteto ó dictado de M. N. y M. L, Ciudad, se la dé en adelante el tratamiento de Excelencia, y sus capí ulares gocen el de Señoría: qu</t>
  </si>
  <si>
    <t>1224 DOCUMENTAS. Num. i.° Proclama del comandante general de las armas de Buenos; Ayres D. Santiago Liniers al exército de su mando, al siguiente dia de la revista general que pasó d las tropas en la tarde del dia 2 4 de junio del año de 1807. Ilustres ciudadanos alistados para defender</t>
  </si>
  <si>
    <t>áis; Al general Liniers. = Es copia. ■=. Manuel Gallego K Num. 30. Fot comisión del general español D. Santiago Liniers ccnte EtQ á usted áiacarta, que; por AU parlamentario se ha remitido, dirigida á intimar la rendicion de esta capital , diciéndole que nada que se. dirija á ren-7 dir las armas oi</t>
  </si>
  <si>
    <t>Litta</t>
  </si>
  <si>
    <t>Rey, por decreto de 5 de Diciembre próximo pasado, ha nombrado Gran Oficial de la Legión de Honor á Mr. Litta, Sum 11er deCorps de la Casa Real de Italia;; y'Gentileshombres de la misma £ Mrs. Pola , de Treviso i Querini^ de Veneciaj Alcxandii» de Eérgamo; y Vtdoni» de Cremoca.</t>
  </si>
  <si>
    <t>Littleton</t>
  </si>
  <si>
    <t>có diciendo que las providencias extraordinarias ¡amas debian tomarse sino por tiempo muy limitado. Mr. Littleton extrañó que una providencia de esta especie fuese propuesta por un gobierno, ,,el qual, dixo irónicamente, ha afianzado la tranquilidad de la Irlanda sobre fundamentos tan sólidos,</t>
  </si>
  <si>
    <t>Livermore, Tomás</t>
  </si>
  <si>
    <t>Tomás Livermore</t>
  </si>
  <si>
    <t>ión del escudo de sús Reales armas á la fábrica de curtidos á la inglesa, establecida en Málaga por D. Tomas Livermore, y á los almacenes de su dependencia; como una demostración del aprecio que. le merecen los establecimientos útiles ; y para que no se impida al .interesado^ el- uso de ésta graci</t>
  </si>
  <si>
    <t>Lizoain, Joaquín Fulgencio</t>
  </si>
  <si>
    <t>Joaquín Fulgencio Lizoain</t>
  </si>
  <si>
    <t>D. Matías Gregorio de Lomas, en Minglanilla. D. Joaquín Valero, en la Xara, partido de S. Clemente. D. Joaquín Fulgencio Lizoain, en Ppeote la Reyna,y otros varios apasionados de este descubrimiento. No puedo omitir tampoco entre ellos á nuestro sabio Martí, de Barcelona, de quien hemos sabido, por noticia</t>
  </si>
  <si>
    <t>Llaguno, Miguel</t>
  </si>
  <si>
    <t>Miguel Llaguno</t>
  </si>
  <si>
    <t>irón, D. Simón Perez, D. Pedro de Barcia, Santiago Celada, D. Pedro Garay, D. Isidoro del Castillo, D. Miguel Llaguno, IX Pedro Baranda, JoaquinGuio, Jcsef Mendez, Bartolomé Martin, Pedro Guio, Vívente Crespo, D. Josef García Suelto, Francisco Quintín Sánchez, D. Juan Muñoz, D. Félix Salces, Gonz</t>
  </si>
  <si>
    <t>Llanes, Vicente</t>
  </si>
  <si>
    <t>Vicente Llanes</t>
  </si>
  <si>
    <t>uela de primeras letras, del cargo de D. Celestino Mendoza, el primer premio en la clase de lectura D. Vicente Llanes, el segundo D. Cárlos Cruz Mayor: en la dé escritura el primero D. Pedro Mantilla, el segundo D. Tomas Merino. En la clase de rudimentos de gramática castellana y latina, del carg</t>
  </si>
  <si>
    <t>Llano y Álvarez, Antonio</t>
  </si>
  <si>
    <t>Antonio Llano y Álvarez</t>
  </si>
  <si>
    <t>dro Mana Sanchoyer to: para la de las nuevas porciones de Sierra-Morena, su capital la Carolina , á D. Antonio Llano y Alvarez: para la de la ciudad de Ronda, que ha renunciado D .«Josef Manuel Calderón de Guevara, á D. Josef María Otero: para la de la ciada d de Vaüadolid, que este dexa, á J). Juan Berme</t>
  </si>
  <si>
    <t>Llanos Granados, Francisco</t>
  </si>
  <si>
    <t>Francisco Llanos Granados</t>
  </si>
  <si>
    <t>servido nombrar para la media-ración de la catedral dé Ciudad-Rodrigo, vacante por fallecimiento de D. Francisco Llanos Granados, á D. Josef María Baxo Quadrado, teniente cura de la parroquia de la villa de Hinojosa de Duero en dicha diócesi: para el beneficio de la parroquia de S. Cipriano de Pillarno, en</t>
  </si>
  <si>
    <t>Llanos, Luis</t>
  </si>
  <si>
    <t>Luis Llanos</t>
  </si>
  <si>
    <t>te la sesión con un eloqíiente discurso, en que demostró la importancia de los trabajos del cuerpo. Don Luis Llanos, censor, en el elogio del Rey manifestó la particular consideración que este cuerpo ha debido á su real piedad en las gracias que le ha dispensado; y el primer secretario D, Josef</t>
  </si>
  <si>
    <t>Llanos, Mateo</t>
  </si>
  <si>
    <t>Mateo Llanos</t>
  </si>
  <si>
    <t>Francisco Amo. En la de geografía el i.° ai mismo D. Mateo Seoane; 2.0 á D. Telesforo Barrio: 3.0 á D. Mateo Llanos. El exercicio que al tiempo del ex&amp;men hizo este niño (que aun no ha salido de la escuela de primeras letra?) excediólas esperanzas que los examinadores debían concebir de un alum</t>
  </si>
  <si>
    <t>Llopis, Vicente</t>
  </si>
  <si>
    <t>Vicente Llopis</t>
  </si>
  <si>
    <t>.. Muert. 16 5'" l. Vicente Llopis... :.... de Vicente .... Al~ir~...... ........ ............ 1800.. Muert. 101 ... Ca,'•.!,"" Ioe tlt Mar:. J, IBo 7.= Luis Maríll .And,.i"fli.= Yo B. C"",.,ml</t>
  </si>
  <si>
    <t>Llorens, Antonio</t>
  </si>
  <si>
    <t>Antonio Llorens</t>
  </si>
  <si>
    <t>licenc. I07· .. Jr. Antonio Llorens..... dI;! BilutiEta.•.. Rellen en Valencia ...... 1796 .• Pres}d. 6 f 8 ... (j. Antonio Acosta ...... del miimo ..... Sevilla .......................... 17</t>
  </si>
  <si>
    <t>Llórente, Juan Antonio</t>
  </si>
  <si>
    <t>Juan Antonio Llórente</t>
  </si>
  <si>
    <t>Alava, Guipúzcoa y Vizcaya, y el origen de sus fueros: tomo 2.0, por el Dr. D. Juan Antonio Llórente, presbítero, dignidad de maestrescuelas y canónigo de la catedral de Toledo &amp;c. En este segundo tomo acaba el texto de la parte histórica de la obra, demostrando el origen verdadero de los fu</t>
  </si>
  <si>
    <t>Lmicaster</t>
  </si>
  <si>
    <t>obre ello eJyos poco costosos; y si salen bien, no se debe reparar en gastos para £grar el intento. Mr. Lmicaster ha puesto ya en planta un sistema, que por su sencillez y utilidad debe ser considerado como un gran descubrimiento. El orador se felicita de que no obstante la oposición de algun</t>
  </si>
  <si>
    <t>Lobo Mesía de Monroy, Pedro</t>
  </si>
  <si>
    <t>Pedro Lobo Mesía de Monroy</t>
  </si>
  <si>
    <t>el Puerto de Sta. María, en la diócesi de Sevilla, vacante’por muerte de D. Miguel Angel de Brea, á D. Pedro Lobo Mesía de Monroy, cura del hospital del Amor de Dios en la ciudad de ‘Sfevilla, con ia carga de precisa personal residencia, ayudar á lo? párrocos de la misma prioral en las funciones de su cargo,</t>
  </si>
  <si>
    <t>Lobo y Arjoña, Pedro</t>
  </si>
  <si>
    <t>Pedro Lobo y Arjoña</t>
  </si>
  <si>
    <t>El Rey se ha servido conferir, el gobierno .militar; y político de Castellón de la Plana al coronel D. Pedro Lobo y Arjoña, .gobernador de la plaza de Tarifa ; y el de la ciudad de Vich al teniente coronel D. Antonio de Arce, capitán primero agregado al segundo batallón de voluntarios de Aragón. : s.</t>
  </si>
  <si>
    <t>Lobo, Antonio Nicolás</t>
  </si>
  <si>
    <t>Antonio Nicolás Lobo</t>
  </si>
  <si>
    <t>cas: á D. Antonio Roig para la canongía magistral de la catedral de Mallorca, vacante por muerte de D. Antonio Nicolás Lobo:á Do® Silvestre Navarro para el canonicato priorato primera silla dé la colegial'de Castellvo, diócesi de Urgel, vacante por fallecimiento de D. Isidoro Belle" ra; y á D. Juan Gin</t>
  </si>
  <si>
    <t>Lobo, Gabriel</t>
  </si>
  <si>
    <t>Gabriel Lobo</t>
  </si>
  <si>
    <t>y húsares de María Luisa empleos de" Alférez al Portaguión D. Diego González Carboncll, y al Cadete D. Gabriel Lobo. En América. El Rey se hibdignado conferir el Regimiento de infantería de Cuba al Coronel D. Joseí* Sastre, Teniente Coronel del de infante—' ría de la Havana: en las compañías fr</t>
  </si>
  <si>
    <t>Lobon, Mateo</t>
  </si>
  <si>
    <t>Mateo Lobon</t>
  </si>
  <si>
    <t>neficio de la parroquia de S. Cipriano de Pillarno, en el obispado de Oviedo, vacante por muerte de D. Mateo Lobon, á D. Bernardo Alonso Miranda, capellán de la real armada, con la obligación de residirlo precisamente por sí, y de cumplir las cargas que le están impuestas; y para una capellaní</t>
  </si>
  <si>
    <t>Lockhart</t>
  </si>
  <si>
    <t>nel Stanley, sosteniendo que el sistema militar de Mr. Wiudharn era preferible por todos capítulos. Mr. Lockhart defendió el pian de los ministros, asegurándoles que sí tomaban providencias enérgicas para la defensa de la patria, hallarían dispuesta la población de lps tres reynos á ayudarles c</t>
  </si>
  <si>
    <t>ios kalmucos disparaban contra ellos sus flechas paradefenderse.” ¿Se reirían acaso menos , añadió Mr. Lockhart, si viesen que nosotros les oponíamos unos medios de resistencia menos enérgicos que los suyos? Ya ha llegado el tiempo en que este pais debe emplear todos sus recursos contra un</t>
  </si>
  <si>
    <t>Loke</t>
  </si>
  <si>
    <t>n tráfico que habían aprobado unos hombres como los lores Clarendon y Somers, el obispo Robertson y Mr. Loke. El lord Buckinghamshire se admiró mucho de que se atribuyese d entusiasmo una propuesta que hacé 20 años se está examinando en el parlamento. Con este antecedente bién pudieran l</t>
  </si>
  <si>
    <t>Lombard</t>
  </si>
  <si>
    <t>ario perpetuo de la academia, lo que merecía por muchos títulos; pero este empleo se ha conferido á Mr. Lombard, que es uno de los ministros que se han retirado. S. A. R. el Príncipe Augusto de Prusia, hijo dél Príncipe Fernando, llegó el dia 11 á esta ciudad de vuelta de su viage á Francia</t>
  </si>
  <si>
    <t>Long</t>
  </si>
  <si>
    <t>el présente año. En seguida leyó un extractoedé un' pasagé de la historia■ de jarnayea, escrita por Mr. Long , donde se demuestra que la suspensión del tráfico de esclavos és favorable á los hacendados de las colonias; y ai aumento dér la población de los negros. - V El lord Westrnorélan</t>
  </si>
  <si>
    <t>artillería; Mr. Roberto Dundas presidente de la secretaría de la India ; el lord Carlos Sommerset Y Mr. Long tesoreros del exército ; el conde de Bathust presidente de la junta de comercio y moneda; el conde de Chichester uno de los gefes-de las postas; y el lord Lovaine miembro de la se</t>
  </si>
  <si>
    <t>Lopetecli, Bartolomé</t>
  </si>
  <si>
    <t>Bartolomé Lopetecli</t>
  </si>
  <si>
    <t>gada: su autor D. Tomas de Sorreguieta. Se hallará en la librería de Montero, y en Cádiz en casa de D. Bartolomé Lopetecli. Compendio de la Historia de España desde los tiempos mas remotos hasta nuestros días, porD. Josef Ortiz y Sanz: 7 tomos en 8.° marquilla, á 105 rs. en rústica y 133 en pasta.=Diá</t>
  </si>
  <si>
    <t>López Barajas, Manuel</t>
  </si>
  <si>
    <t>Manuel López Barajas</t>
  </si>
  <si>
    <t>ado al ayudante, graduado de capitán, D. Josef de Céspedes. . En atención i los buenos servicios de D. Manuel López Barajas , caballero de la distinguida orden de Cirios m , y diputado de los reynos, y á los de sú hijo D. Josef López Barajas, caballero de la misma orden, se ha servido S. M. conceder al</t>
  </si>
  <si>
    <t>López Dávalos, Félix</t>
  </si>
  <si>
    <t>Félix López Dávalos</t>
  </si>
  <si>
    <t>e: para el arciprestazgo beneficio simple de Cerezo, en la diócesi de Búrgos, vacante por muerte de D. Félix López Dávalos, á D. Josef Cayuela del Castillo : para otro residencial de la parroquial de la villa de Prats del Rey, diócesi de Vique, baxo la invocación de Sta. Margarita, á D. Josef Magret;</t>
  </si>
  <si>
    <t>López de Alcaraz, Francisco</t>
  </si>
  <si>
    <t>Francisco López de Alcaraz</t>
  </si>
  <si>
    <t>e Goycoecheá, y á teniente el subteniente D. Félix de Toda. Eri atención á los buenos •servicios de D. Francisco López de Alcaraz, secretario del rey con ejercicio devdecrétós, y oficial mayor mas antiguo de ía secretaría de estado y del despachó nniversal de Hacienda de España, ha venidb 5; éñ conferirle la</t>
  </si>
  <si>
    <t>López de Lerena, Pedro</t>
  </si>
  <si>
    <t>Pedro López de Lerena</t>
  </si>
  <si>
    <t>se hicieren siendo arregladas; y verificado, señalará S. E. dia para su remate. Por providencia de D. Pedro López de Lerena, alcalde ordinario por el estado noble de la villa de Valdemoro, á virtud de los reales decretos de S. M., y á instancia do D. Bernardo de Velasco, marido y conjunta persona de Do</t>
  </si>
  <si>
    <t>López de Oros, Antonio</t>
  </si>
  <si>
    <t>Antonio López de Oros</t>
  </si>
  <si>
    <t>do, con la casa-aposento, emolumentos y relevación de la media anata. S. M. se ha servido nombrar á D. Antonio López de Oros, dignidad de capellán mayor de la catedral de Jaca, para el arcedianato de-Serralbo, dignidad de la de Huesca, vacantexpoír muerte de D¿ Pablo Millan : á D. Francisco Pitaluga y G</t>
  </si>
  <si>
    <t>López de Ralbas, Manuel</t>
  </si>
  <si>
    <t>Manuel López de Ralbas</t>
  </si>
  <si>
    <t>en 47,05;8, Quien quisiere hacer postura acuda ante dicho señor, por la escribanía de provincia de D. Manuel López de Ralbas. AVISOS. En la ciudad de Santander se halla vacante la plaza de médico titular,con destino á los 4 barrios de Cueto, Monte, S. Román y Carrillo, que distan de la ciudad los 3 un q</t>
  </si>
  <si>
    <t>López de Ribas, Manuel</t>
  </si>
  <si>
    <t>Manuel López de Ribas</t>
  </si>
  <si>
    <t>iere hacer dicha puja acuda ante el Sr. Alcalde D. Francisco López Lisperguer, por la escribanía de D. Manuel López de Ribas. Habiendo fallecido en la ciudad de Montevideo D. Miguel Ignacio de la Quadra, de quien quedó, con el derecho,de cumplir su última voluntad D. Juan Jcsef de Ortiz, cura y vicario</t>
  </si>
  <si>
    <t>quisiere mejorarla acuda ante el señor alcaide D. Francisco López Lisperguer, por la escribanía de D. Manuel López de Ribas. Para el remate de la casa sita en la calle de S. Gregorio, núm. 9, manz. 313, valuada en 30,338 rs., se ha señalado el día 10 de Abril próximo á la puerta de la audiencia del Sr</t>
  </si>
  <si>
    <t>, tasardá en 793,410 f$. Quien quisiere hacer oostura acudí ante dicho señor , por la escribanía de D. Manuel López de Ribas.;™ Per la misml escribanía se vende, para pago de acreedores, una efigie de CHsfcTcruciíicado, de marfil*, de vara escasa de alto , con cruz de ébano , y s'úurna denógal; tasado e</t>
  </si>
  <si>
    <t>r postura, acuda ante el señor alcalde de corte D. Francisco López Lispcrguer, por la escribanía de D. Manuel López de Ribas. AVISOS. En la villa de Torralba, provincia de la Mancha, se haWa vacante la plaza de médico , que vale 800 ducados cobrados por la justicia. Los pretendientes dirigirán sus memor</t>
  </si>
  <si>
    <t>ere hacer postura, acuda ante el señor alcalde £&gt;. Francisco López Lisperguer, por la escribanía de D. Manuel López de Ribas. ; AVISOS., i , Habiéndose aprobado por. los señores del .real consejo de las Ordenes. ,el remate celebrado en esta corte dé los frutos, y rentas de la encomienda de Villaescusa d</t>
  </si>
  <si>
    <t>a en 143,401 rs. 24 mrs. Quien quisiere hacer postura acuda ante dicho señor , por la escribanía de D, Manuel López de Ribas. ,, , avisos. Habiéndose suspendido por ciertas ocurrencias el remate anunciado para el 17 del corriente de los frutos y rentas de la encomienda mayor de Montalban, orden de Santi</t>
  </si>
  <si>
    <t>SOS, Por el juzgado del Sr. D. Francisco López Lisperguer, alcalde de casa y corte, y escribanía de D. Manuel López de Ribas, se cita, llama y emplaza á los parientes mas cercanos de D. Pedro Pablo Montero, natural que fue del lugar de Fuenlabrada, para que dentro de 30 dias contados desde la publicació</t>
  </si>
  <si>
    <t>e el señor alcalde de casa y corte D. Francisco López Lisperguer, por la escribanía de provincia de D. Manuel López de Ribas. Se venden diferentes bienes en término del lugar de Vicálvaro, y entre el mismo pueblo, Madrid y Ambroz, á saber: 3 pedazos de viduño jaén, con 3200 cepas, tasados en 1 2,200 rs.</t>
  </si>
  <si>
    <t>López de Rivas, Manuel</t>
  </si>
  <si>
    <t>Manuel López de Rivas</t>
  </si>
  <si>
    <t>z. 21, tasada cn r ©aiL&amp;órs. Quien quisiere hacer postura acuda,, ante dicho Señor y escribanía! de D. Manuel López de Rivas- 1 ¿ Quien quisiere comprar úna casa sita éñqla: plazuela antigua:déla Paja, núm. 2, manz. 298 , tacada en 406,264 rs. acuda-ante el Sr. D. Alfonso• Duran-y -Babaza-' bal, Alcalde</t>
  </si>
  <si>
    <t>Francisco López Lisperguer, del consejo de S. M., su alcalde de casa y corte, por la escribanía de D. Manuel López de Rivas, repetir otra, citación; en el supuesto de que no compareciendo dentro de 30 dias, término suficiente , último y perentorio que se les señala, se sustanciarán en su rebeldía los a</t>
  </si>
  <si>
    <t>-orri jos y de D. Tomas Oríiz, vecinos ó residentes en esta corte, acuda á darla á la escribanía de D. Manuel López de Rivas para requerirles al pago ó protesto de'unas letras de cambio qüe cumplen en 20 y 24 dei corriente; pues á los efectos conducentes y á instancia de:parte se da: este aviso en virtu</t>
  </si>
  <si>
    <t>98,220 rs. Quien quisiere hacer postura, acuda ante dicho señor, por la escribanía de provincia de D. Manuel López de Rivas. AvisoSe desea saber el paradero de Juan Josef Salamanca, hijo de D. Juan Lucas, sargento retirado de los reales batallones de marina, que se ausentó con su madre *3 años hace de</t>
  </si>
  <si>
    <t>e el señor alcalde de casa y corte D. Francisco López Lisperguer, por la escribanía de provincia de D. Manuel López de Rivas._Igualmente se ha señalado el 9 del mismo para el remate de otra casa sita en la plazuela de la Cebada de esta corte, núm. 7, manz. 147; tasada en 98,220 rs.: dan por ella la mism</t>
  </si>
  <si>
    <t>ejora, acuda ante el señor alcalde D. Francisco López Lisperguer, por la escribanía de provincia de D. Manuel López de Rivas* Por la comisión real de la diócesi de Piasencia, y en virtud de auto del juez subdelegado de la villa y partido.de MedelLin D. Francisco María de Castilla, se ha mandado sacar á</t>
  </si>
  <si>
    <t>López de Saiazar, Antonio</t>
  </si>
  <si>
    <t>Antonio López de Saiazar</t>
  </si>
  <si>
    <t>Quien quisiere hacer postura á ella, que ha de cubrir el todo de su tasa , acuda á la escribanía de D. Antonio López de Saiazar. avisos. Por el correó del dia 13 de marzo dc.l presente año remitió D. Julián Mondiere, del comercio de Cádiz,, cinco vales reales de ¿ 600 pesos, creación de i.° de Mayo, núms-</t>
  </si>
  <si>
    <t>López de Salazar, Antonio</t>
  </si>
  <si>
    <t>Antonio López de Salazar</t>
  </si>
  <si>
    <t>comisiones, tasado en 14© rs. Quien quisiere hacer ppstura 4 ambas fincas acuda,4 la escribanía de Don Antonio López de Salazar.4= Asimismo :se ha señalado el dia 10 del presente para el remate de otra casa.sita en lá.calle di? Calatrava, n)&amp;m. 21 , manz. 109, tasada en 9 2*824 rs. Quien quisiere hacer pos</t>
  </si>
  <si>
    <t>es se La señalado el día i'g¡de mayo próximo. Quién quisiere hacer postura acuda álá esc ribánía de D. Antonio López de Salazar;' Por procidencia del Sr. D. Leo-rPchS'Sagasta teniente corregidor de ésta villa* ,1 de 11 déPcórríente, se ha mandado sacar á pública-subasta, por término de'30 dias contados des</t>
  </si>
  <si>
    <t>3 , en 24,420. Quien quisiere hacer postura á qualquiera de dichas finca», acuda á la escribanía de D. Antonio López de Salazar. Por decreto de la real y suprema junta de la comisión gubernativa de consolida clon se ha mandado sacar nuevamente á pública subasta por última vez, y término' de 30 dias contado</t>
  </si>
  <si>
    <t>, en 24,420. Quien quisiere hacer postura á qualesquiera de dichas fincas acuda á la escribanía de D. Antonio López de Salazar. AVISOS. Habiéndose aprobado por el consejo^rcal de las Ordenes el remate celebrado en esta corte de los frutos y rentas de la encomienda de Mayorga, orden de Alcántara', en 57$ r</t>
  </si>
  <si>
    <t>, valuada en 30,440 rs. Quien quisiere hacer postura á qualquiera de ellas acuda á la escribanía de D. Antonio López de Salazar; y se previene que para su remate está señalado el 20 del corriente en la posada de dicho señor juez protector, que la tiene plazuela de Celcnque. A instancia de los herederos é i</t>
  </si>
  <si>
    <t>ñor, que la tiene en la plazuela de Ceienque, Quien quisiere hacer postura acuda i la escribanía de D. Antonio López de Salazar. El señor intendente de esta provincia, por sus decretos de 4 y 18 de julio pro* ximo pasado, se ha servido aprobar el remate ¿te una casa sita en la calle de la Encomienda de est</t>
  </si>
  <si>
    <t>y de las demas noticias que Ies sean oportunas, acuda hasta dicho día á la escribanía del número de D. Antonio López de Salazar. , avisos. Por providencia del Sr. D. Francisco Fernandez del Pino, alcalde del crimen de Irreal audiencia de Sevilla, y encargado interinamente del despacho del juzgado de aquell</t>
  </si>
  <si>
    <t>postura á ella acuda en término de 30 dias, contados desde 31 de agosto último, á la escribanía de D. Antonio López de Salazar. Por providencia del Sr. D. Antonio Alcalá Galiano, alcalde de casa y corte, se ha señalado para el remate de una casa sita en la corredera de S. Pablo, manzana 449, núm. 22, tasa</t>
  </si>
  <si>
    <t>enos en *el precio de su tasación. Quien quisiere hacer postura acuda á la escribanía del número de D. Antonio López de Salazar. Por providencia del Sr. D. León de Sagasta, teniente corregidor de esta villa, y escribanía numeraria de D. Ramón de Milla Cuellar, se ha mandado publicar nuevamente una casa sit</t>
  </si>
  <si>
    <t>n°7 tasada en 44,16o rs. Quien quisiere hacer postura, acuda á la escribanía de número de D. Antonio López de Salazar. Por la audiencia del Sr. D. León de Sagasta, teniente corregidor de esta villa» y escribanía de número de D. Tomas de Sancha y Prado, se ha mandado sacar á pública subasta, por t</t>
  </si>
  <si>
    <t>tasa é pagar en vales Quien quisiere mejorarla, acuda á la escribanía dé número y de la comisión de D. Antonio López de Salazar. Se venden diferentes bienes existentes en el término del lugar de Vicálharo, y entre ei mismo pueblo, Madrid y Ambroz; á saber: 3 pedazos de viduño jaén, con 3200 cepas, tasados</t>
  </si>
  <si>
    <t>da ante el señor marques de Fuerte-lujar, del consejo real de S. M., por la escribanía de número de D. Antonio López de Salazar. Por providencia de D. Juan López de Vinuesa, subdelegado para la venta de bienes eclesiásticos en la villa de Cáceres y su arcíprestazgo, se ha mandado sacar á pública subasta, p</t>
  </si>
  <si>
    <t>López de Vinuesa, Juan</t>
  </si>
  <si>
    <t>Juan López de Vinuesa</t>
  </si>
  <si>
    <t>ciudad de Lérida, y escribanía de su gobierno, que está á cargo de D. Juan Oras. Por providencia de D. Juan López de Vinuesa, comisionado regio para la venta de bienes eclesiásticos de la diócesi de Coria, se han mandado sacar á pública subasta, por término de 30 dias contados desde el 2 del corriente,</t>
  </si>
  <si>
    <t>la dehesa titulada Centolla de arriba, en 64,533 rs. Quien quisiere hacer postura comparecerá ante D. Juan López de Vinuesa, juez subdelegado para la venta de bienes eclesiásticos en dicha villa y su arciprestszgo, y su escribano Claudio Constanzo; advirtiéndose que se ha de rematar el dia 23 del corri</t>
  </si>
  <si>
    <t>eña D. Vicente Lafueate de Vclasco, escribano real y del numero de dicha ciudad. Por providencia de D. Juan López de Vinuesa, subdelegado para la venta de bienes eclesiásticos en la villa de Ciceres y su a.rciprestazgo, se ha mandado sacar á pública subasta, por el término de 30 dias contados desde el 1</t>
  </si>
  <si>
    <t>López de Vínuesa, Juan</t>
  </si>
  <si>
    <t>Juan López de Vínuesa</t>
  </si>
  <si>
    <t>te el dia 7 del presente en las casas consistoriales de dicha ciudad.de Alcañiz. Por providencia de D. Juan López de Vínuesa, subdelegado para la venta de bienes eclesiásticos en la villa de Cáceres y su arciprestazgo, se ha mandado sacar á pública subasta, por segundo término y el de 30 días contados d</t>
  </si>
  <si>
    <t>rregtdór de ésta villa, pór ante el escriban© de número D. Ramón García Ximenez. Por providencia de D. Juan López de Vinuesa, subdelegado para la venta de bienes eclesiásticos en la villa de Cáceres y su arciprcstazgo, se ha mandado sacar i pública subasta, por término de 30 dias contados desde el 13 de</t>
  </si>
  <si>
    <t>nsejo real de S. M., por la escribanía de número de D. Antonio López de Salazar. Por providencia de D. Juan López de Vinuesa, subdelegado para la venta de bienes eclesiásticos en la villa de Cáceres y su arcíprestazgo, se ha mandado sacar á pública subasta, por término de 30 dias contados desde el 14 de</t>
  </si>
  <si>
    <t>López de Vinueta, Juan</t>
  </si>
  <si>
    <t>Juan López de Vinueta</t>
  </si>
  <si>
    <t>a acuda por la escribanía de la comisión, que desempeña D. Josef López Martínez. Por providencia de D. Juan López de Vinueta, juez subdelegado para la venta de bienes eclesiásticos en la villa de Cáceres y pueblos de su arciprestazgo, se L,i mandado sacar á pública subasta, por el término de jo días, la</t>
  </si>
  <si>
    <t>López Enguídanos, Tomás</t>
  </si>
  <si>
    <t>Tomás López Enguídanos</t>
  </si>
  <si>
    <t>lísimo y Grande Almirante de España é Indias. Estampa dibuxada por D. Josef Ribelles, y grabada por D. Tomas López Enguídanos, grabador de cámara de S. M., en la qual se ve á S. A. á caballo y en una de las actitudes mas correspondientes. Esta estampa hace juego, por su tamaño, con la célebre del Moneada</t>
  </si>
  <si>
    <t>López Fando, Juan</t>
  </si>
  <si>
    <t>Juan López Fando</t>
  </si>
  <si>
    <t>e sus acreedores. Quien quisiere hacer postura, lo executará ante dicho señor, por la escribanía de D. Juan López Fando. avisos. Ante el Sr. D. Ramón de Pisón, del consejo de S. M., alcalde honorario del crimen de la real chañe,illena de Valladolid y auditor del juzgado del Almirantazgo de Madrid,</t>
  </si>
  <si>
    <t>lo. Quien quisiere hacer postura á qualquiera de ellas acuda ante dicho señor, por la escribanía de D. Juan López Fando. Por providencia de D. Josef Frauco, subdelegado-para la venta de bienes eclesiásticos en la diócesi de Zaragoza, se ha mandado sacar á pública subasta una huerta cerrada, con su'</t>
  </si>
  <si>
    <t>López Fardo, Juan</t>
  </si>
  <si>
    <t>Juan López Fardo</t>
  </si>
  <si>
    <t>providencia del Sr. D. Torquato Antonio Collado, teniente corregidor de esta villa, y es:rib2nía de D. Juan López Fardo, se ha mandado sacar á pública subasta una casa sita en esta corte,calle de las Hileras,núm. 8 , manz. 38p, tasada últimamente en 192,652 rs. Quien quisiere hacer postura, lo cxcc</t>
  </si>
  <si>
    <t>López Lago, Rafael</t>
  </si>
  <si>
    <t>Rafael López Lago</t>
  </si>
  <si>
    <t>ongía de la metropolitana de Santiago, vacante por fallecimiento de D. Cayetano Lerin Bracamonte, á D. Rafael López Lago, racionero de la misma: para otra canongía de la catedral de Palencia, vacante por muerte de D. Juan Francisco FlorezVillamil, á D. Jacinto García Lozano, cura párroco de la villa</t>
  </si>
  <si>
    <t>López Lisjprguer, Francisco</t>
  </si>
  <si>
    <t>Francisco López Lisjprguer</t>
  </si>
  <si>
    <t>ados en la testamentaría de Baltasar García* y en virtud de providencias del señor alcalde de corte D. Francisco López Lisjprguer, se ha mandado sacar á pública subasta, por término de 30 dias contados desde el 27 de agosto último, dos casas sitas en la calle de Sto. Tomé de esta villa, núms. 2 y 3, manz. 2</t>
  </si>
  <si>
    <t>López Lispcrguer, Francisco</t>
  </si>
  <si>
    <t>Francisco López Lispcrguer</t>
  </si>
  <si>
    <t>n del Cura, tasada en 24,930 rs. Quien quisiere hacer postura, acuda ante el señor alcalde de corte D. Francisco López Lispcrguer, por la escribanía de D. Manuel López de Ribas. AVISOS. En la villa de Torralba, provincia de la Mancha, se haWa vacante la plaza de médico , que vale 800 ducados cobrados por la</t>
  </si>
  <si>
    <t>López Lisperguer, Francisco</t>
  </si>
  <si>
    <t>Francisco López Lisperguer</t>
  </si>
  <si>
    <t>s.,que se remató en 154© en vales reales. Quien quisiere hacer dicha puja acuda ante el Sr. Alcalde D. Francisco López Lisperguer, por la escribanía de D. Manuel López de Ribas. Habiendo fallecido en la ciudad de Montevideo D. Miguel Ignacio de la Quadra, de quien quedó, con el derecho,de cumplir su última v</t>
  </si>
  <si>
    <t>ino que fue de esta corte, se ha solicitado por el defensor judicial del concurso, y mandado el Sr. D. Francisco López Lisperguer, del consejo de S. M., su alcalde de casa y corte, por la escribanía de D. Manuel López de Rivas, repetir otra, citación; en el supuesto de que no compareciendo dentro de 30 dias,</t>
  </si>
  <si>
    <t>reales, á la c,ual se hizo la puja del quarto. Quien quisiere mejorarla acuda ante el señor alcaide D. Francisco López Lisperguer, por la escribanía de D. Manuel López de Ribas. Para el remate de la casa sita en la calle de S. Gregorio, núm. 9, manz. 313, valuada en 30,338 rs., se ha señalado el día 10 de Ab</t>
  </si>
  <si>
    <t>ado el dia 3 de agosto próximo para su remate. En virtud de providencias del señor alcalde de corte D. Francisco López Lisperguer se ha mandado sacar á pública subasta, por término de 30 dias contados desde el 24 del corriente, una casa sita en esta corte, en la calle ancha de S. Bernardo, que vuelve á la de</t>
  </si>
  <si>
    <t>te corregidor de esta villa, por la escribanía de D, Miguel Gonzalo. AVISOS, Por el juzgado del Sr. D. Francisco López Lisperguer, alcalde de casa y corte, y escribanía de D. Manuel López de Ribas, se cita, llama y emplaza á los parientes mas cercanos de D. Pedro Pablo Montero, natural que fue del lugar de F</t>
  </si>
  <si>
    <t>ría á. los que le- pueden tener mejor que Doña Josefa Gravilla Valdcatenas.. Por el juzgado del Sr. D. Francisco López Lisperguer, alcalde de casa y corte, y escribanía de D.. Manuel López de Ribas, se cita, llama y emplaza á los parientes mas cercanos de Faustina de la Ripa, vecina que fue del lugar de Cara</t>
  </si>
  <si>
    <t>en moneda metálica. Quien quisiere hacer dicha mejora, acuda ante el señor alcalde de casa y corte D. Francisco López Lisperguer, por la escribanía de provincia de D. Manuel López de Ribas. Se venden diferentes bienes en término del lugar de Vicálvaro, y entre el mismo pueblo, Madrid y Ambroz, á saber: 3 pe</t>
  </si>
  <si>
    <t>Juan Raya; y para su remate está señalado el dia 7 del corriente. En virtud de providencia del Sr. D. Francisco López Lisperguer, alcalde de casa y corte, se ha mandado sacar á pública subasta, por término de 30 días contados desde el 23 de setiembre anterior, una casa sita en esta corte, plazuela de la Ceb</t>
  </si>
  <si>
    <t>les, y el resto en metálico. Quien quisiere hacer puja, acuda ante el señor alcalde de casa y corte D. Francisco López Lisperguer, por la escribanía de provincia de D. Manuel López de Rivas._Igualmente se ha señalado el 9 del mismo para el remate de otra casa sita en la plazuela de la Cebada de esta corte, n</t>
  </si>
  <si>
    <t>s, y ios 2 2© restantes en efectivo. Quien quisiere hacer dicha mejora, acuda ante el señor alcalde D. Francisco López Lisperguer, por la escribanía de provincia de D. Manuel López de Rivas* Por la comisión real de la diócesi de Piasencia, y en virtud de auto del juez subdelegado de la villa y partido.de Med</t>
  </si>
  <si>
    <t>López Lisperguet, Francisco</t>
  </si>
  <si>
    <t>Francisco López Lisperguet</t>
  </si>
  <si>
    <t>ntro dfe 30 dias contados desde 3 del corriente; í ? ¿ ' - En virtud de providencia del Sr. Alcalde D. Francisco López Lisperguet se har mdndado sacar á pública subasta, por término de 30. dias contados desde 18 de Diciembre último, una casa sita en la calle de Sta. Ines, con accesorias á lá de Sta. Isabel,</t>
  </si>
  <si>
    <t>López Loarte, Francisco</t>
  </si>
  <si>
    <t>Francisco López Loarte</t>
  </si>
  <si>
    <t>ho cuerpo de Barcelona/con el fin de arreglar su enseñanza según ei nuevo sistema de Pestalozzi ; á D. Francisco López Loarte, cadete del regimiento de</t>
  </si>
  <si>
    <t>López Portillo, Francisco</t>
  </si>
  <si>
    <t>Francisco López Portillo</t>
  </si>
  <si>
    <t>odo estado y clase de personas, con exemplos de mucho consuelo para los que se ven atribulados, por D. Francisco López Portillo: un tomo en 8.* Se hallará en las librerías &lt;^c Ramos, carrera de S. Gerónimo, de “Cerro, calle de las Carretas, de Ximenez, calle de la Concepción,en el puesto del diario,plazuel</t>
  </si>
  <si>
    <t>López Üe Salazar, Antonio</t>
  </si>
  <si>
    <t>Antonio López Üe Salazar</t>
  </si>
  <si>
    <t>er postura , y enterarse de su calidad , circunstancias y demas pormenores acuda á la escribanía de D. Antonio López Üe Salazar. Quien quisiere hacer postura á una casa sita en esta corte, calle de la Cabeza, núm. 24;, manz. 37, tasada en 107,937 rs., acuda ante el Sr. D. León de Sagasta, teniente corregid</t>
  </si>
  <si>
    <t>López Villatobas, Andrés</t>
  </si>
  <si>
    <t>Andrés López Villatobas</t>
  </si>
  <si>
    <t>desea saber si hay algunos parientes de Dqña Gabriela López, natural que fue de esta corte, hija de D. Andrés López Villatobas, natural este del lugar de los Hinojos, en la Mancha, y de Doña Angela Fernandez de Córdoba, que lo fue también de esta corte, pues tiene que comunicarles un asunto de intereses D</t>
  </si>
  <si>
    <t>Lopez, Alonso</t>
  </si>
  <si>
    <t>Alonso Lopez</t>
  </si>
  <si>
    <t>cenc. 67+ .. 1 7 .• Cabo 1.° Alonso Lopez ......... de Pedro ...... MuJa ............................ 1795,' Imr:íJid. 120 ... ~9. Su. 1.° AntoniuRodriguez. deJulian ....... Sevilla.......................... 179</t>
  </si>
  <si>
    <t>López, Antonio</t>
  </si>
  <si>
    <t>Antonio López</t>
  </si>
  <si>
    <t>o, el primero graduado de capitán; y subtenencia de bandera en. el de la Rey na al sargento primero D. Antonio López*</t>
  </si>
  <si>
    <t>López, Gregorio</t>
  </si>
  <si>
    <t>Gregorio López</t>
  </si>
  <si>
    <t>o, calle de las Carretas. Tratado del apocalipsi de S. Juan, explicado por el V.Gregorio López,natural de Madrid: un tomo en 8.° mayor con 24 estampas finas, y un epítome de la vida del venerable expositor con su retrato, á 56 rs. en pasta r*gu1ar y 60 en fina, y sin las estampas c</t>
  </si>
  <si>
    <t>López, Ignacio</t>
  </si>
  <si>
    <t>Ignacio López</t>
  </si>
  <si>
    <t>entre rusos y prusianas. ALEMANIA. Dresde 2 de abril. El ministro plenipotenciario deS.M. católica'D. Ignacio López deUIIoa, en una audiencia pública, entregó á nuestro rey las cartas de felicitación de su soberano sobre su nueva dignidad real. Al mismo tiempo presentó dicho ministro sus nuevas cr</t>
  </si>
  <si>
    <t>López, Joaquín</t>
  </si>
  <si>
    <t>Joaquín López</t>
  </si>
  <si>
    <t>S. M. se ha servido conceder ayudantía en los regimientos del Infante y Montesa á los tenientes D. Joaquín López, D. Juan García Otazo y D. Manuel Estébari de Elorduy, este último graduado de capitán. S. M. se ha servido nombrar subtenientes de las compañías fixas de artilleros de guarnición</t>
  </si>
  <si>
    <t>López, Juan</t>
  </si>
  <si>
    <t>Juan López</t>
  </si>
  <si>
    <t>ruz ; y en Granada en la de Polo Castillo. GRABADO. Plano topográfico de Barcelona, por el geógrafo D. Juan López, de varia* academias y sociedades. Contiene una explicación de los objetos mas notables de esta plaza , ciudadela, Barceloneta y puerto. Se hallará en la plazuela del Angel , núme</t>
  </si>
  <si>
    <t>llón de voluntarios de Valencia al teniente D. Manuel Reig: en el de Zamora tenencia al subteniente D. Juan López, y subtenencia de bandera al sargento primero X&gt;. Antonio Linacero : en el segr-ldo batallón de infantería ligera de voluntarios de Aragón se ha servido S. M. promover á capitán p</t>
  </si>
  <si>
    <t>D. Joaquín Tosa; y capitán, teniente y subteniente en la compañía del presidio del Peten de Itza á D. Juan López, D. Manuel Alipi y D. Camilo Gómez, los nueve últimos vecinos de las respectivas jurisdicciones de dichos cuerpos. A instancia de la real sociedad de Oviedo ha concedido el Serení</t>
  </si>
  <si>
    <t>Los mapitas de España y cercanías de Madrid para la Guia de forasteros se venden en el despacho de D. Juan López, plazuela del Angel, núm. 19. MUSICA. En el almacén de música y papel rayado de la carrera de S. Gerónimo, frente á la Soledad, se halla de venta el celebrado método de cantar, po</t>
  </si>
  <si>
    <t>López, Tomás</t>
  </si>
  <si>
    <t>Tomás López</t>
  </si>
  <si>
    <t>por lo bien que dixo también la doctrina, de edad de 5.años.___En la escuela de niños, al cargo de D. Tomas López, se adjudicó el premio por leer y doctrina cristiana, calografía, aritmética, gramática y ortografía castellana , á Dionisio Nieto y Pedro Cano, que fue sorteado con Antonio Verga</t>
  </si>
  <si>
    <t>López, Vicente</t>
  </si>
  <si>
    <t>Vicente López</t>
  </si>
  <si>
    <t>rs. cada estampa. Estampa fina de la B. Verónica Juliani, capuchina, en medio pliego, dibuxada por D. Vicente López, pintor de cámara de S. M. Véndese á 2 rs en las librerías de Campo, frente á las gradas de S. Felipe, y de Arribas, calle de las Carretas. EN LA IMPRENTA REAL.</t>
  </si>
  <si>
    <t>Lorenzp de Perca, Domingo</t>
  </si>
  <si>
    <t>Domingo Lorenzp de Perca</t>
  </si>
  <si>
    <t>en Madrid al citado D. Antonio de Yarritu, que vive en la plazuela del Aagel, y en Lezama al mismo D. Domingo Lorenzp de Perca. Se desea saber el paradero de Juan WrbanoHaJ?ermacher,natural de Rickem, bach', en el cantón de Lucerna en Suiza jurisdiccioh de Míin=ter, pártido de Sürsée, que sirvió á la coro</t>
  </si>
  <si>
    <t>Loriga, Juan</t>
  </si>
  <si>
    <t>Juan Loriga</t>
  </si>
  <si>
    <t>Luis González. S. M. se ha servido promover á Teniente del real cuerpo de Artillería al Subteniente D. Juan Loriga. El Rey se ha servido nombrar Comisario de artillería honorario de guerra de los reales exércitos al Guarda-almacén ordinario de artillería D. Miguel Zapatero; habiéndose dignado</t>
  </si>
  <si>
    <t>LorsnzóGuardiola</t>
  </si>
  <si>
    <t>idiásr, - ayuntamientos ¿ juntas iriuhiéipales , asesores, escribanos ó fieles de fechos &lt;Scc.: por'D. LorsnzóGuardiola: 3.* edición. Se hallará en la librería de Castillo, frente a las gradas de S. Feiipe. MUSICA. EN LA IMPRENTA REAL.</t>
  </si>
  <si>
    <t>Losada, Francisco</t>
  </si>
  <si>
    <t>Francisco Losada</t>
  </si>
  <si>
    <t>te D. Josef Arana ; á tenientes á los alféreces D. Pedro-Francisco Álvarez, Lb francisco Costales y D. Francisco Losada; á alféreces á los sargentos primeros D. Maximiliano Martinez , D. Teodoro Guevara , y al soldado ommguido D. Manuel Nieto; y á Portaguiones á D. Josef Ramón Barrera, D. Pablo Cos</t>
  </si>
  <si>
    <t>Louis, Tomás</t>
  </si>
  <si>
    <t>Tomás Louis</t>
  </si>
  <si>
    <t>inuábamos en Alexandría sin ser dueños de Roseta , he destacado, de acuerdo con el contra-almirante Sir Tomas Louis, que manda la esquadra por ausencia de Sir J. Duckworth, oteo cuerpo de 2 50Q hombres mandado por el brigadier general Stewart y del coronel Oswald, para que se apodere de aquella</t>
  </si>
  <si>
    <t>Lozano, Agustín</t>
  </si>
  <si>
    <t>Agustín Lozano</t>
  </si>
  <si>
    <t>Quien quisiere hacer postura acuda á ia escribanía de D. Juan Alexandro Bonilla. Por providencia de D. Agustín Lozano, comisionado regio en la diócesi de Orihuela , se ha señalado el 24 del corriente para el remate de las fincas siguí en test 28 tahullas de tierra huerta,sitas en la general de la</t>
  </si>
  <si>
    <t>Lr, Miguel</t>
  </si>
  <si>
    <t>Miguel Lr</t>
  </si>
  <si>
    <t>ido nombrar para una canongía de la catedral de Jaca, vacante por fallecimiento de D. Ramón Asió, á D. Miguel Lr p&lt; z y Ger, racionero cor» cargo de cura de almas de la villa de Muriilo Gallego-, y á I). Cirios Casarova para un beneficio servidero de la villa de la Fiesnedc, diócesi de Zarag</t>
  </si>
  <si>
    <t>Ltniers, Santiago</t>
  </si>
  <si>
    <t>Santiago Ltniers</t>
  </si>
  <si>
    <t>üeipara.^efectua;lo necesitaba disminuir mi exército, debilitándolo en una tercera p^te á lo me(O . Don Santiago Ltniers sirve «íq interrupctonen nuestra armada desde ié de noviembre de *775 »^jue sentó pieza de guardie marina^ y se ha hallado en Jas principales- expediciones de su tiempo hasta el a</t>
  </si>
  <si>
    <t>Lucadi</t>
  </si>
  <si>
    <t>timas cartas que se han recibido aquí de Malmoe dicen que el Rey dé Süecia goza una salud peíféctá. Mr. Lucadi, oficial prusiano, había .llegado á aquella residencia cpnpliegos para el Rey de parte de su soberano."'' ' ’;:' -:' ALEMANIA. Viena § de mayo* Se ha recibido aquí la noticia de q</t>
  </si>
  <si>
    <t>Lucio, Bernardo Antonio</t>
  </si>
  <si>
    <t>Bernardo Antonio Lucio</t>
  </si>
  <si>
    <t>; y para la penitenciaría del real monasterio de la Visitació n de Madrid, vacante por promoción de D. Bernardo Antonio Lucio á confesor de él, al Dr. D. Nicolás Martínez de Tejada, rector del colegio de Málaga, y substituto de la cátedra de instituciones teológicas de la real universidad de Alcalá. En l</t>
  </si>
  <si>
    <t>Lúeas León</t>
  </si>
  <si>
    <t>no, con variaciones para tocar en los intermedios. Polaca, con 12 variaciones para forte-piano, por D. Lúeas León. Se hallará etl la librería de Birco, carrera de S. Gerónimo, á 30 rs. EN LA IMPRENTA REAL.</t>
  </si>
  <si>
    <t>Lúeas Vivas</t>
  </si>
  <si>
    <t>por un cuerpo de 6co hombres; D. Manuel de Arroyo, D. Josef Gabriel de la Hoyuela, D. Pedro Nuñez, D. Lúeas Vivas, y D. Tomas Castillon su segundó, á la cabeza de verdaderos patricios, me han hecho los servicios mas distinguidos, como caballería ligera, rondando las noches enteras al rededor</t>
  </si>
  <si>
    <t>Luengo, Tomás</t>
  </si>
  <si>
    <t>Tomás Luengo</t>
  </si>
  <si>
    <t>el mismo cuerpo ál Cadete D. Juan Santiago y Llano: en el de León al Sargento primero de granaderos D. Tomas Luengo y al Cadete D. Josef Martínez Noguerol: en el de Astúrias al Sargento primero de granaderbs D. Luis Pimentel; y en el de Ultonia al Cadete SL Pedro Nolasco Burguera: en el del Princ</t>
  </si>
  <si>
    <t>LuiáRutes</t>
  </si>
  <si>
    <t>D. Pedro Fernandez de la Cuesta: en el de Granada Subtenencia de bandera al Cadete del”de la Corona D. LuiáRutes eñ él de Extremadura Subtenencia de bandera al Cadete D. Joaquín dei Hoyo ; y en el de Ñapóles compañía al Teniente de granaderos, graduado de Capitán , D. Joscf Arnauda. En América</t>
  </si>
  <si>
    <t>Luis, Almirante</t>
  </si>
  <si>
    <t>Almirante Luis</t>
  </si>
  <si>
    <t>ntinopla, coa fecha de 9 de diciembre, que la esquadra inglesa-de 7 navios de línea, mandada por el Almirante Luis, entró en los Dardaneios á fines de noviembre. El Almirante llegó allí’el día 3o1 con el navio Canqpus y un bergantín; y el Capitán Baxá comió á bordo con el Almirante ingles el 7</t>
  </si>
  <si>
    <t>estaba todavía en aquella ciudad á la salida del último correo austríaco.. La esquadra inglesa del Almirante Luis se hallaba cruzando delante del puerto. Uno de los correos austríacos encontró en Bucharest á un correo ruso que iba de Polonia, y publicaba en todas partes que los rusos habían c</t>
  </si>
  <si>
    <t>Luisa Augusta, Princesa</t>
  </si>
  <si>
    <t>Princesa Luisa Augusta</t>
  </si>
  <si>
    <t>rte, de 74: Príncipe Real Federico, y Príncipe heredero Federico, de 72 : Noruega, de 6‘á: Seiren , Princesa Luisa Augusta, y Dithmarschen , de 64: Príncipe Cristiano Federico, y Princesa Carolina» de 60. Diez y seis fragatas armadas ccn muchas carenadas y obuses, ademas de los cañones que se expresan</t>
  </si>
  <si>
    <t>, si le era posible, con el capitán Sneedorff, que se halla en Fredrickswaern con el navio de línea Princesa Luisa Augusta y el bergantín Lougen. Ea vista de esta orden, y del peiig'o que corría la ciudad de Christian?and fi el enemigo, que todavía se hallaba á la vista, renovaba el ataque, el capitán Jes</t>
  </si>
  <si>
    <t>Luisa Bendicho de Virues, María</t>
  </si>
  <si>
    <t>María Luisa Bendicho de Virues</t>
  </si>
  <si>
    <t>ta del mes de enero.__ Ultimamente, se reconocieron las copias de cabezas dibuxadas por las señoras Doña María Luisa Bendicho de Virues, gobernadora de está ciudad, y Doña Josefa María, hija de Don Andrés de la Piedra, juez presidente de la junta de arrecife, que merecieron el aplauso de todos los asistentes. Por</t>
  </si>
  <si>
    <t>Luisa Radzivil, Princesa</t>
  </si>
  <si>
    <t>Princesa Luisa Radzivil</t>
  </si>
  <si>
    <t>ador vino á esta ciudad al día siguiente, y antes de comer visitó á la Princesa Guillermina, y á la Princesa Luisa Radzivil. Después de comer pasó á ver ai Príncipe real, que está enfermo, al Príncipe de Orange Fulda, y al ministro de Estado de Prusia Mr. de Hard enberg, con quien tuvo dos horas de con</t>
  </si>
  <si>
    <t>Lunar</t>
  </si>
  <si>
    <t>ugnación físico-moral á los desafíos, dedicada á la memoria de Miguel de Cervántes, y publicada por D. Lunar. ¿De qué serviría que el autor de esta obrita hubiera tratado de acinar en ella declaraciones pontificias, leyes, instituciones y pragmáticas contra duelos, si toda aquella erudic</t>
  </si>
  <si>
    <t>Luque, Joaquín Antonio</t>
  </si>
  <si>
    <t>Joaquín Antonio Luque</t>
  </si>
  <si>
    <t>ra una canongía de la metropolitana de Granada, vacante por fallecimiento de D. Ildefonso Martes, á D. Joaquín Antonio Luque, presbítero: para una ración de la catedral de Toledo, vacante por muerte de D. Pedro Sainz Rodríguez, á D. Baltasar Fernandez, presbítero: parados de las tres capellanías que fun</t>
  </si>
  <si>
    <t>Luque, Juan Antonio</t>
  </si>
  <si>
    <t>Juan Antonio Luque</t>
  </si>
  <si>
    <t>de Madrid , dice que S. M. se ha servido nombrar para una canongía de la metropolitana de Granada á D. Juan Antonio Luque, debe decir Joaquín. ASTRONOMIA. Observación del eclipse de luna, del 4 de enero de i8o(T hecha en Valencia en la calle del Almirante por el barón de la Puebla-Tornes a „ Tfo. ast</t>
  </si>
  <si>
    <t>LWliard</t>
  </si>
  <si>
    <t>ión del enemigo es enviar fuerzas marítimas al Báltico, introduciéndolas por el canal deSleswick. &gt; Mr. LWliard, capitán de la fragata Anson, ha llegado el 21 del corriente con la noticia de la conquista de la isla holandesa de Curazao por las armas1 británicas el dia*i.° del año. El capitá</t>
  </si>
  <si>
    <t>M'mroe</t>
  </si>
  <si>
    <t>continente. Se asegura que el gobierno americano en las instrucciones que ha enviado á su ministre Mr. M'mroe, le manda insistir en que renunciemos al derecho de visitar sos buques para buscar los marineros de nuestra nación, sea qual fuere su condición y estado. No parece que tienen el m</t>
  </si>
  <si>
    <t>Machado Salcedo Yañes de Burgos, Francisco</t>
  </si>
  <si>
    <t>Francisco Machado Salcedo Yañes de Burgos</t>
  </si>
  <si>
    <t>del expresado Real Cuerpo á D. Mariano Unzaga St. Maxent y Paniza, D.; Pedro Valera Víaña y Valera, D. Francisco Machado Salcedo Yañes de Burgos, D. Carlos, Miyares Mancebo y Lo} zaga, D. Francisco Betbecé Llano y Marroco , D. Santiago Piñeyro de las Cafas y Malignado», D. Juan de Mata Marina Arnaiz y León, D. Víctor Duro.</t>
  </si>
  <si>
    <t>Mack</t>
  </si>
  <si>
    <t>minado los procesos relativos á la conducta de varios generales durante la última guerra. Dicen que Mr. Mack ha sido sentenciado á prisión perpetua, y el Príncipe de Avesperg á un destierro. Pero Lo que ha causado mas admiración es la indulgencia con que ha sido tratado Mr. Meerfeldt, ma</t>
  </si>
  <si>
    <t>Mack, General</t>
  </si>
  <si>
    <t>General Mack</t>
  </si>
  <si>
    <t>de S, M. el Emperador de los Franceses Rey de Italia. La noticia difundida en toda Europa de que el General Mack ha sido condenado á muerte, según los unos, y.á prhion perpetua según los otros, está enteramente destituida de fundamento. Todavía no se ha dado sentencia alguna en este complica</t>
  </si>
  <si>
    <t>Mackean, Tomás</t>
  </si>
  <si>
    <t>Tomás Mackean</t>
  </si>
  <si>
    <t>10c© hombres de milicias, decretada por el presidente de los Estados-Unidos, ha hecho el gobernador Mr. Tomas Mackean una proclama , que en substancia dice asi: ,, El honor, la libertad y la independencia de los Estados-Unidos se hallan en el día amenazadas por la misma potencia, de cuyos ejércit</t>
  </si>
  <si>
    <t>Macquer</t>
  </si>
  <si>
    <t>arres de la era cristiana vulgar hasta el de 1768 de la era cristiana : obra escrita en francés por Mr. Macquer, abogado del parlamento de París, y traducida al español por D. Baltasar Zapata y Merino¿ Se hallará en la librería de Villareal, calle de las Carretas, y en el puesto cíe Tejada,</t>
  </si>
  <si>
    <t>Macsy</t>
  </si>
  <si>
    <t>t ' de Limeríck han sido apedreados los magistrados: uno de ellos, llamado Mr. Macsy, ha sido herido gravemente, y en una noche han roto todos ios vidrios de las ventanas de su casa. En varios distritos del condado han colocado estandartes de rebelión adornados co</t>
  </si>
  <si>
    <t>Madan, Santiago</t>
  </si>
  <si>
    <t>Santiago Madan</t>
  </si>
  <si>
    <t>. Juan Tarrius: á capitanes de fusileros al agregado P. Francisco Urtusaustegei, al primer teniente D. Santiago Madan , y al primer ayudante D. Félix Uriundo: á primer teniente de granaderos ai de fusileros D. Josef Delahanty: á primer ayudante al primer teniente D. Buenaventura del Campo: á prim</t>
  </si>
  <si>
    <t>Maestre y Maestre, Juan María</t>
  </si>
  <si>
    <t>Juan María Maestre y Maestre</t>
  </si>
  <si>
    <t>é matemáticas .de EL Benito Bails. I&gt;. Josef Gutiérrez de -la Vega, D. Manuel Rodríguez y»5o.telo y D. Juan María Maestre y Maestre fueron ; examinados de mecánica c hidráulica, y los 3 recibiéron en :premio igual número de medallas de plata, y de exemplares dé eximen marítimo de D. Jorge Joan. Asimismo, leyó</t>
  </si>
  <si>
    <t>Mafei, Cayetano</t>
  </si>
  <si>
    <t>Cayetano Mafei</t>
  </si>
  <si>
    <t>y tenencia al subteniente de granaderos D.~ Vicente Ferreri: en el de Ñapóles ayudantía al teniente D. Cayetano Mafei:: .en el de Malltírea tenencia al subteniente de granaderos D. Roque S. Martin: efi el de la Reyna tenencia al subteniente D. Miguel Carabaño; y en ekde-Africa subtenencia de band</t>
  </si>
  <si>
    <t>Mainguernaud</t>
  </si>
  <si>
    <t>erg, desembarcó en la península que está en frente de Pilau , y marchó hacia la aldea de Carlsberg. Mr. Mainguernaud, edecán del general Lefebvre, acudió con alguna gente, y mediante la habilidad de sus maniobras consiguió hacer prisioneros á los 400 prusianos, entre ios quales había 120 hombres</t>
  </si>
  <si>
    <t>Máire, Lord</t>
  </si>
  <si>
    <t>Lord Máire</t>
  </si>
  <si>
    <t>á de, volverse, á Inglaterra.. iMondres'TCrdé'enemi. Elri7 déXeorriéffté^efr^iÓ M‘. T. Gienville al Lord Máire la? siguiente noticia recibida dé PlymoütH ipor eXtelégrafo:. ,,Buenos-Ayres ha sido reconquistadb el 1-2 de agosto : ¿X.exército queda prisionero de guerra.” El Lord Maire*, que no:</t>
  </si>
  <si>
    <t>Maldonado, Simón Pedro</t>
  </si>
  <si>
    <t>Simón Pedro Maldonado</t>
  </si>
  <si>
    <t>. en nombrarle para la ración que se halla vacante en la catedral de Plasencia por fallecimiento de Don Simón Pedro Maldonado: igualmente se ha servido nombrar para la capellanía de número de la catedral de Almería, vacante por ascenso de Don Urbano Rafael de Tevar á una ración de la misma iglesia, á D.J</t>
  </si>
  <si>
    <t>Mallafre, Pedro Antonio</t>
  </si>
  <si>
    <t>Pedro Antonio Mallafre</t>
  </si>
  <si>
    <t>y por no haber tenido efecto el nombramiento hecho para este mismo beneficio en D. Jaynie Donay: á D. Pedro Antonio Mallafre para otro beneficio de la metropolitana de Tarragona,, baxp la invocación ae las ontce; mil vírgenes , vacante por muerte de D. Buenaventura Pomarol. I. Eji; la compañía .italiana</t>
  </si>
  <si>
    <t>Mallet</t>
  </si>
  <si>
    <t>o de contribuir á extender mas y mas el uso de tan benéfico y provechoso descubrimiento. El célebre Mr. Mallet, bien conocido en la república de las letras por las muchas producciones de su ingenio, señaladamente por su historia de Dinamarca, na muerto el iS del corriente, de un ataquq de</t>
  </si>
  <si>
    <t>Mallorcas, Francisco</t>
  </si>
  <si>
    <t>Francisco Mallorcas</t>
  </si>
  <si>
    <t>gial de Sta. María de la ciudad de Calatayud, obispado de Tarazo na ,* vacante por fallecimiento de D. Francisco Mallorcas: á D. Antonio Roig para la canongía magistral de la catedral de Mallorca, vacante por muerte de D. Antonio Nicolás Lobo:á Do® Silvestre Navarro para el canonicato priorato primera</t>
  </si>
  <si>
    <t>Malo y Reyes, Manuel</t>
  </si>
  <si>
    <t>Manuel Malo y Reyes</t>
  </si>
  <si>
    <t>médico; D. Tomas de Llanes, teniente coronel de milicias; D. JuanAlmeyda; D. Manuel García Várela; D. Manuel Malo y Reyes; D. Blas Ostoloza, doctor en teología y cánones; D. Domingo Parrondo y Ortiz, y D. Francisco Pió Guzman, maestros de primeras letras. En la extracción de la real lotería, executad</t>
  </si>
  <si>
    <t>Malo, Domingo</t>
  </si>
  <si>
    <t>Domingo Malo</t>
  </si>
  <si>
    <t>over á capitán de granaderos al de fusileros D. Felipe Ramírez; á capitán al teniente de granaderos D. Domingo Malo; á teniente de granaderos ai de fusileros Don Juan Bautista Guerra; á teniente ai subteniente D. Agustín Iturbe, yá subteniente de granaderos ál de fusileros D. Juan Lejarza.</t>
  </si>
  <si>
    <t>Mam Josefa Vázquez y Adorna</t>
  </si>
  <si>
    <t>Catalina Mexía , 2057 di de D. Juan Francisco Perron, 2058 aí de D. Josef de la Herran, *059 al de Doña Mam Josefa Vázquez y Adorna, 2060 al de D. Francisco MartinezSisniega, 2061 al.de D. Cristóbal García, 2o6z al. de D. Francisco Martínez de Cisne**</t>
  </si>
  <si>
    <t>Mambriüa Monzon, Francisco</t>
  </si>
  <si>
    <t>Francisco Mambriüa Monzon</t>
  </si>
  <si>
    <t>r, primera silla de la catedral de Osma, vacante por fallecimiento de D. Félix Martínez de Rajas, á D. Francisco Mambriüa Monzon; y para una canongía de la colegial de Antequera, en la diócesi de Málaga, vacante por muerte de D. Víctor Josef Tonier, á D. Matías de Hita. Él Rey se ha servido conferir en el r</t>
  </si>
  <si>
    <t>Mancebo, Francisco</t>
  </si>
  <si>
    <t>Francisco Mancebo</t>
  </si>
  <si>
    <t>; á Teniente al Subteniente D. Diego Vicente Casta-¿' ños; y á Subtenientes al soldado distinguido D. Francisco Mancebo, y aí‘ Sargento del Regimiento de infantería de la Corona de México D. Francis-&lt; co Castro. En el Batallón fixó de Panamá se ha servido S. M. promover á Capitán al Ayudante D. Nic</t>
  </si>
  <si>
    <t>Mancebo, Sebastián</t>
  </si>
  <si>
    <t>Sebastián Mancebo</t>
  </si>
  <si>
    <t>arazona, vacante por promoción de D. Josef de lasHerás á canongía de la colegial de dicha ciudad, á D. Sebastian Mancebo, presbítero. El Rey se ha servido conferir compañía en el regimiento de infantería de León al ayudante del provincial de milicias de Sevilla, graduado de capitán, D. Baltasar de B</t>
  </si>
  <si>
    <t>Mancharas, Manuel</t>
  </si>
  <si>
    <t>Manuel Mancharas</t>
  </si>
  <si>
    <t>omenecn, en Vinaroz. D. Pedro Borgunio, en Alicante. D. Antonio Díaz, en Paniza, campo de Cariñena. D. Manuel Mancharas, en la Puebla de Montalvan. D. Matías Gregorio de Lomas, en Minglanilla. D. Joaquín Valero, en la Xara, partido de S. Clemente. D. Joaquín Fulgencio Lizoain, en Ppeote la Reyna,y</t>
  </si>
  <si>
    <t>Mangiron, Segundo</t>
  </si>
  <si>
    <t>Segundo Mangiron</t>
  </si>
  <si>
    <t>stura á qual quiera de ellos acuda ante dicho señor, por la escribanía del número y ayuntamiento de D. Segundo Mangiron; en inteligencia de que su remate se ha de celebrar el dia 28 del presente en las casas consistoriales de dicha vill** A instancia deí poseedor del mayorazgo á que corresponde una</t>
  </si>
  <si>
    <t>Mannel de la Torre</t>
  </si>
  <si>
    <t>aña, se ha servido el Rby promover á teniente al alférez D. Ramón Terreros; á alférez al portaguión D. Mannel de la Torre , y á portaguión á D. Esteban Villanueva, vecino de la demarcación del regimiento. En cumplimiento de lo mandado por S. M. en real pragmática-sanción de 30 de agosto de i8oq, desd</t>
  </si>
  <si>
    <t>Manrique, Diego</t>
  </si>
  <si>
    <t>Diego Manrique</t>
  </si>
  <si>
    <t>añana se habían depositado en la capilla de la casa de beneficencia las respetables cenizas del Sr. D. Diego Manrique, gobernador y capitán general que fue de esta ciudad é isla, y las del limo. Sr. D. Josef González Cándamo, obispo de M^ilasa, auxiliar de esta diócesi , y díó principio á su tras</t>
  </si>
  <si>
    <t>Mantilla, Francisco</t>
  </si>
  <si>
    <t>Francisco Mantilla</t>
  </si>
  <si>
    <t>este acto, que presidió (por indisposición del corregidor) el regidor honorario y síndico personero D. Francisco Mantilla, el consiliario Dr. D. Josef María Gastañeta , tomando ocasión de la silenciosa complacencia que observó en los circunstantes, pronunció el discurso siguiente: ,, Compatriotas: au</t>
  </si>
  <si>
    <t>Mantilla, Pedro</t>
  </si>
  <si>
    <t>Pedro Mantilla</t>
  </si>
  <si>
    <t>clase de lectura D. Vicente Llanes, el segundo D. Cárlos Cruz Mayor: en la dé escritura el primero D. Pedro Mantilla, el segundo D. Tomas Merino. En la clase de rudimentos de gramática castellana y latina, del cargo de D. Vicente Cosgaya, D. Josef Chacón el primero, D. Antonio Golfín el segundo.</t>
  </si>
  <si>
    <t>Manuel Cipriano</t>
  </si>
  <si>
    <t>asta él S. E. con algunos chubascos de viento y agua; la desconfianza que inspiró al Practicó mayor D. Manuel Cipriano el mal gobierno de la goleta Remedios, le hizo orzar algo mas dé lo que nos daba el viento» de puya resulta recalarnos mucho mas á barlovento de lo que se había proyectado; pero hal</t>
  </si>
  <si>
    <t>Manuel Jacinto</t>
  </si>
  <si>
    <t>la ciudad de Cuenca, se ha encontrado una exícutoria de nobleza, que se sacó en el año de 1743 para D. Manuel Jacinto de. Bringas: la persona á quien corresponda acudirá á recogerla de D, Manuel Martínez Molina, capellán de S. Gerónimo en dicha ciudad de Cuenca. Se halla vacante la plaza de médico t</t>
  </si>
  <si>
    <t>Manuela la Tucumanesa</t>
  </si>
  <si>
    <t>o Molina, deí cuerpo de blandengues de Buenos-Ayres: grado y sueldo de subteniente de infantería i, Doña Manuela la Tucumanesa* También ha concedido S. M. cruces de la real orden española de Cárlbs III á D. Juan Martínez Puiredon, D. Diego Alvarez Barragana y D. JuamJFantin, que, como voluntarios, hiciero</t>
  </si>
  <si>
    <t>Manuela Taraneo</t>
  </si>
  <si>
    <t>Andrés del Val, D. Joaquín Fusell, D. Manuel Croselles, D. Juan Ribera Colechá, Doña María Vecino, Doña Manuela Taraneo, Doña Rafaela Bordenove y Doña Franca Ximenez. Continuóse publicando la adjudicación de .6 proemios ofrecidos á las escuelas y enseñanzas de la ciudad de Felipe: y concluido,este</t>
  </si>
  <si>
    <t>Manuela y María del Carmen, María</t>
  </si>
  <si>
    <t>María Manuela y María del Carmen</t>
  </si>
  <si>
    <t>ro del término prenxado, se pasará á hacer entrega de la referida cantidad á D. Ignacio de Acevedo, Doña María Manuela y Doña María del Carmen, svis hermanas, que siguen autos en el citado convento de religiosas sebre justificar la identidad de un crédito á favor suyo. Por auto del Sr. D. León de Sagasta, teniente correg</t>
  </si>
  <si>
    <t>Manuelfavila</t>
  </si>
  <si>
    <t>e, por ultimo y P^rCvl 0rl | rv- ¡i vecuio aue contados desde t i del corriente, á los herederos de D. Manuelfavila ™ £« fue de esta corte, para que dentro de él comparezcan ante dicho señor- y escriba nía de D. Mauricio Justo del Rincón, á usar de su derecho en la demanda puesta por D. Ignacio</t>
  </si>
  <si>
    <t>ManuelMartmez</t>
  </si>
  <si>
    <t>o de artillería; i D.‘Josef Ignacio Gomez^capitan deL regimiento de infantería de Buenos- Ay res; á D. ManuelMartmez, capitán del cuerpo de; caballería de blandengues de la frente ra de Buenos- Ay res; a D. Antonio Gon zale z Valcarce, espitan del cuerpo de caballería de blandengues de la fronte</t>
  </si>
  <si>
    <t>ManuelNacero</t>
  </si>
  <si>
    <t>nte D. Juan Mapuel Figueroa; á Tenientes á los Alféreces D. Ncrberto Alo-ólla, D.Gregorio Santayana,D. ManuelNacero , Don Pedto, Dueñas, D. Rafael González y D. Vicente Ferro; á Alféreces á los Cadetes D. Mariano Campana, D. Juan Alegría, D. Angel Mariano Ramírez y D. Martin de Concha; y á Port</t>
  </si>
  <si>
    <t>Manutl Zamora, Luis</t>
  </si>
  <si>
    <t>Luis Manutl Zamora</t>
  </si>
  <si>
    <t>yna D. Juan Fernandez Tello; y en el de Voluntarios de Estado tenencia al subteniente de granaderos D. Luis Manutl Zamora, y subtenencia de bandera al cadete D. Antonio Mir Martínez. F.l rey se ha servida conferir compañía en el regimiento de infantería de Mallorca al ayudante graduado de capitán D.</t>
  </si>
  <si>
    <t>Manzanilla, Juan</t>
  </si>
  <si>
    <t>Juan Manzanilla</t>
  </si>
  <si>
    <t>ios montes de Loxa, que han remitido al Rey nuestro señor los viageros D. Juan Tafalla y su alumno D. Juan Manzanilla en el último correo para aumentar la Flora del Peni, y para complemento de la quinolr gia ó tratado de ios quinos. Dichos diseños agregados á los de las especies de chichona, public</t>
  </si>
  <si>
    <t>Manzano, Miguel</t>
  </si>
  <si>
    <t>Miguel Manzano</t>
  </si>
  <si>
    <t>ante al primer teniente D. Buenaventura del Campo: á primeros tenientes de fusileros á Jos segundos D. Miguel Manzano y D. JuanPerdomo: á segundos tenientes á los subtenientes D. Carlos Carta, éste de granaderos, D. Rafael del Campo y D. Manuel de León y Romero; y á subtenientes á D, Aureliano Carabe</t>
  </si>
  <si>
    <t>Manzano, Ramón</t>
  </si>
  <si>
    <t>Ramón Manzano</t>
  </si>
  <si>
    <t>ervido conceder subtenencias de bandera en el regimiento de infantería inmemorial del Rey al cadete D. Ramón Manzano; y en los deUltonia y Princesa á los sargentos primeros de granaderos D. Felipe Hermida y D. Antonio Larroya. Desde el dia i.° de abril hasta 31 de mayo próximos se renovarán en l</t>
  </si>
  <si>
    <t>Maonel Salcedo</t>
  </si>
  <si>
    <t>al capitán segundo de la misma brigada D. Josef Molina. En America. El rey se ha servido conferir á D. Maonel Salcedo, capitán del batallón de infantería de Canarias, el gobierno militar y político de la provincia de Tejas , una de las internas de Nueva-España. En cumplimiento de ló mandado en re</t>
  </si>
  <si>
    <t>Mapuel Figueroa, Juan</t>
  </si>
  <si>
    <t>Juan Mapuel Figueroa</t>
  </si>
  <si>
    <t>oñez; á Capitanes á los Tenientes D. Nicolás Servantes y D. Mateo González; á Ay udante al Teniente D. Juan Mapuel Figueroa; á Tenientes á los Alféreces D. Ncrberto Alo-ólla, D.Gregorio Santayana,D. ManuelNacero , Don Pedto, Dueñas, D. Rafael González y D. Vicente Ferro; á Alféreces á los Cadetes D. Ma</t>
  </si>
  <si>
    <t>Mará, General</t>
  </si>
  <si>
    <t>General Mará</t>
  </si>
  <si>
    <t>a dé lo&gt;3 ttenés p¿ r‘&lt;maloS&lt;4á‘miriQs. “ ■ J Han dado pruebas de iátétigéflcia y de bizarría* el - General Mará</t>
  </si>
  <si>
    <t>Marcelino Junquera</t>
  </si>
  <si>
    <t>premio, en la clase de lectura, D. Antonio Quadros,el segundo D. Josef Morales: en la de escritura D. Marcelino Junquera el primero , D. Joaquín Dolzel segundo: en igual escuela de primeras letras, del cargo de D. Celestino Mendoza, el primer premio en la clase de lectura D. Vicente Llanes, el segundo</t>
  </si>
  <si>
    <t>Marcelo Moreno</t>
  </si>
  <si>
    <t>.n Marcelo Moreno ..... de Pablo....... Sevilla............. .....••....• 1795.' Muert. 107... 17. Valencia ...</t>
  </si>
  <si>
    <t>Marcelo Negrete</t>
  </si>
  <si>
    <t>tanes ai teniente D. Josef Joaquín Montes y á D. Vicente Pazos; á tenientes á IX Manuel Oíascoaga y D. Marcelo Negrete » y á subtenientes á D. Agustín García y D, Josef de la Cruz Gómez, los cinco últimos vecinos de la Jurisdicción de las mismas compañías. Para que el público pueda ver las precios</t>
  </si>
  <si>
    <t>Marcfti El, Fernando</t>
  </si>
  <si>
    <t>Fernando Marcfti El</t>
  </si>
  <si>
    <t>ón de D. Ramón María Sevillano, á una canongía de la metropolitana de Zaragoza; y para su resulta á Don Fernando Marcfti El rey se har servido conferir la sargentía mayor del regimiento de irj-?. fágate ría de Soria al teniente: coronel D. Pedro dei la Justicia, capitán del de Mallorca: el empteo de ca</t>
  </si>
  <si>
    <t>March, Agustín</t>
  </si>
  <si>
    <t>Agustín March</t>
  </si>
  <si>
    <t>uno March para otro beneficio de Parentela , vacante en la metropolitana de Tarragona por_muerte de D. Agustín March. En América. El Rey se ha servido nombrar para el deanato de la catedral de Quito, vacante por fallecimiento de D. Pedro Josef Mesía»á Don Joaquín de Sotomayor y Unda: para el arc</t>
  </si>
  <si>
    <t>Marchand, General</t>
  </si>
  <si>
    <t>General Marchand</t>
  </si>
  <si>
    <t>o por su valor. El mismo dia el 59.° ha avanzado sobre Lauterburg. Durante la accioVi de Soldad, el General Marchand con su división arrojaba ¿í ehemigo dé Mlavtál ¿'‘después de un reñido cómbate. ; El M^Lcal Bessiérés con ;él 2.p cuerpo de la reserva de caballería tenia ocupado á Biezun desde;</t>
  </si>
  <si>
    <t>Marcial Nazar</t>
  </si>
  <si>
    <t>lgunos de sus partidos, acuda i la escribanía de. tabla y acuerdos del concejo, que está á cargo-de D. Marcial Nazar, donde se manifestarán las condiciones en que sé ha de hacer el remate, y los pueblos que comprehende cada uno de los partidos expresados, y se admitirán las posturas que hicieren</t>
  </si>
  <si>
    <t>Marescalchi, Felipe</t>
  </si>
  <si>
    <t>Felipe Marescalchi</t>
  </si>
  <si>
    <t>rvación de estos y de las harinas, escrito en francés por Mr. Beguiller, extractado y traducido por D. Felipe Marescalchi: un tomo en 4.0 con 23 láminas finas. Esta obra está^dividida en 3 partes: en la i.*se da un conocimiento exacto de las diferente» especies de trigo, su elección para la siembra y</t>
  </si>
  <si>
    <t>Mari, Jacinto</t>
  </si>
  <si>
    <t>Jacinto Mari</t>
  </si>
  <si>
    <t>Dj Francisco^ Lorenzo Ximenéz -p3ta&gt;Qtrai§ubdiaco^il déla propia oaxédral y-vacante por ntubrte de D. Jacinto Mari* y á D. Juan Planas, sirvíéúte d.djcDro del monastejrio.de núes</t>
  </si>
  <si>
    <t>Mariana Ibáñez</t>
  </si>
  <si>
    <t>sofía, del cargo de D. Miguel de Celada en este curso, han merecido D. Josef Isla el primer premio, Don Mariana Ibañez el segundo- En la de segundo año de la misma facultad, del cargo, en el presente curso, de D. Julián Negrete, se consideró dignos del primer premio á D. Josef Cacho y á D. Antonio R</t>
  </si>
  <si>
    <t>Mariano</t>
  </si>
  <si>
    <t>den calzado déla Merced, D. Rafael Tenorio y ¡Herrera, D. Francisco de las Casas VD. Tomas Salazar, Don Mariano..Fernandez^. D. Manuel Flor an.es y D. Josef González dei Valle fueron exáminados.de aritmética, álgebra, geometría y trigonometría plana, y premiados cada uno de ellos con un exe</t>
  </si>
  <si>
    <t>5i6 la Barrera, medies del real hospital; D. Mariano^ Briones, oficial déla contaduría general de la distribución de la real hacienda; D. Pedro García Várela; D. Francisco Pradel; D. Ventura María Sani, conserge del real palacio del</t>
  </si>
  <si>
    <t>os y caballeros: los alumnos disertaron sobre los asuatos que les habia cabido por suerte, á saber: D. Mariano</t>
  </si>
  <si>
    <t>Mariano Aleman</t>
  </si>
  <si>
    <t>41. .. 19. Mariano Aleman ..... de Mariano ... Alcalá de Denia ............ 1801 •• Muert. 145 ... 17. Manuel Fernandez ... de Ramon..••• S. Martin de Baldueza ... 1802 .. Licen</t>
  </si>
  <si>
    <t>Mariano Alonso</t>
  </si>
  <si>
    <t>quarto el término de 30 dias, contados desde dicho día 20. Quien quisiere hacerla acuda ante el Sr. D. Mariano Alonso, alcalde de casa y corte, por la escribanía de D. Miguel García de la Madrid. Por providencia del Sr. D. León de Sagasta, teniente corregidor de esta villa, juez de la quiebra hec</t>
  </si>
  <si>
    <t>n la cuesta do la Vega de esta corte, núm. 4, manz. 192, retasada en 831,800 rs., acuda ante el Sr. D. Mariano Alonso, alcalde de casa y corte, por la escribanía de D. Miguel Josef García dfe la Madrid; previniéndose de que está señalado para su remate el dia 27 del corriente. Por providencia del</t>
  </si>
  <si>
    <t>a hecho postura en la cantidad dé su tasación en vales reales, acuda ante el señor alcalde de corte D. Mariano Alonso, por la escribanía de D. Miguel Josef García de la Madrid; previniendo estar señalado para su remate el 28 del presente. Quien quisiere hacer postura á una casa sita en esta corte</t>
  </si>
  <si>
    <t>fyi corte, núm. 4, manz. 192, retasada efl #31,800 rs, y tiene de carga 163,200, acuda ante el Sr. D. Mariano Alonso, alcalde de casa y corte, por la escribanía de provincia de D. Miguel Josef García de la Madrid; previniendo está señalado para su remate el jueves 12 de noviembre próximo en la a</t>
  </si>
  <si>
    <t>Mariano Ampuero</t>
  </si>
  <si>
    <t>ros D. Antonio Peña, y i esta resulta al teniente D. Pablo de la Barra; á ayudantes á los tenientes D. Mariano Ampuero y D. Leonardo Arbe ; á tenientes á los subtenientes D. Agustín Cáceres , D. Manuel Claudio Villauri, D. Mariano Gabriel Paredes, Don Juan Antonio Velarde y Neyra, D. Josef Dávila y D.</t>
  </si>
  <si>
    <t>Mariano Andreu</t>
  </si>
  <si>
    <t>edad y sala inmediata, donde se dan las lecciones de esta escuela baxo la dirección del catedrático D. Mariano Andreu, colegial boticario de esta ciudad: presidió estos actos el Dr. D. Antonio Romero, deán de esta santa iglesia metropolitana, caballero electo de la real y distinguida orden españo</t>
  </si>
  <si>
    <t>Mariano Batallas</t>
  </si>
  <si>
    <t>68$ fiero D. Mariano Batallas: para una'cancngía de la metropolitana de Sta. Fe, vacante por muerte de D. Juan Ignacio Gutiérrez, á D. Juan NepomuCeno Cabrera: para la ración que este dexa á D. Manuel Agu-.tin</t>
  </si>
  <si>
    <t>ha servido nombrar para la media ración que resultó vacante en la catedral de Quito por ascenso de D. Mariano Batallas, á D- Juan Miguel Nieto, cura en aquella diócesis. En el regimiento de dragones de España, en México, se ha servido el Rey promover á capitán al ayudante D. Francisco García Briug</t>
  </si>
  <si>
    <t>Mariano Brandi</t>
  </si>
  <si>
    <t>S. Benito, abad y fundador, en quartilla de marca mayor, dibuxada por D. Josef Maea, y grabada por D. Mariano Brandi. Se vende en la librería de Escribano, calle de las Carretas. Continuación á I03 gritos de Madrid, ó los revendedores callejeros, lámina xi, en la que se representan á las pescade</t>
  </si>
  <si>
    <t>l niño Dios en contemplación de su pasión, inventadas y dibuxadas por D. Josef Maea, y grabadas por D. Mariano Brandi, en quartilla de marca mayor, las que hacen juego con S. Benito Abad y fundador. Se venden en la librería de Escribano, calle de las Carretas. MUSICA. En la librería de Campo, cal</t>
  </si>
  <si>
    <t>ntura y Sta. Rosa de Lima, en quartilla de marca mayor, dibuxadas por D. Josef Maea, y grabadas por D. Mariano Brandi. Se hallarán, con otras diferentes de igual tamaño, en la librería de Escribano, calle de las Carretas. MUSICA. En el almacén de música de la carrera de S. Gerónimo, frente á la S</t>
  </si>
  <si>
    <t>Mariano BrandL Se</t>
  </si>
  <si>
    <t>terbo, capuchinp, beatificado por nuestro santísimo padre Pío vn el año pasado de 1806, grab^da^por D. Mariano BrandL Se hallarán en la librería de Arribas, calle de las Carretas. EN LA IMPRENTA REAL.</t>
  </si>
  <si>
    <t>Mariano Calvete</t>
  </si>
  <si>
    <t>te un estercolero, capaz de engrasar una heredad considerable con poco gasto del labrador: el socio D. Mariano Calvete sobre el iafluxo poderoso del sol en la vegetación de las plantas, necesi</t>
  </si>
  <si>
    <t>de lo mucho que aceleran la circulación en el comercio interno la justicia y la libertad: el socio D. Mariano Calvete sobre los efectos que ocasiona un empréstito en la industria: el socio D. Luis María de Cistue sotare qué clases de personas pueden reputarse producentes en una nación: D. Josef d</t>
  </si>
  <si>
    <t>Mariano Campana</t>
  </si>
  <si>
    <t>ManuelNacero , Don Pedto, Dueñas, D. Rafael González y D. Vicente Ferro; á Alféreces á los Cadetes D. Mariano Campana, D. Juan Alegría, D. Angel Mariano Ramírez y D. Martin de Concha; y á Portaestandarte al Cadete D. Manuel Orihuela. En el Regimiento Provincial de dragones de Mechoacan, en el Rey</t>
  </si>
  <si>
    <t>Mariano Carrasco, Miguel</t>
  </si>
  <si>
    <t>Miguel Mariano Carrasco</t>
  </si>
  <si>
    <t>l departamento de Cartagena de Indias al sargento dei regimiento fixo de infantería de Buenos-Ayres D. Miguel Mariano Carrasco, y al artillero distinguido del tercer regimiento de artillería D. Josef Valcarcel.</t>
  </si>
  <si>
    <t>Mariano Chiarri</t>
  </si>
  <si>
    <t>. 4 mrs. Quien quisiere hacer postura, lo executará por la escribanía de la comisión, que desempeña D. Mariano Chiarri. Por providencia de D.xManuel Antonio Palacios, juez subdelegado para la venta de bienes eclesiásticos de la villa de Requena, diócesi de Cuenca, se ha señalado el dia 23 de este</t>
  </si>
  <si>
    <t>de toda carga, afección y reato, lo executará por la escribanía de la misma comisión, que desempeña D. Mariano Chiarri; en la inteligencia de que se procederá á su reñíate el 19 del corriente. Por la comisión real de la diócesi de Zamora, y fen virtud de auto del juez subdelegado interino del prim</t>
  </si>
  <si>
    <t>Mariano de Aguilar, Ignacio</t>
  </si>
  <si>
    <t>Ignacio Mariano de Aguilar</t>
  </si>
  <si>
    <t>e: para la ración que este dexa á D. Juan Sánchez Leñero; y para la media ración que este obtiene á D. Ignacio Mariano de Aguilar, cura de aquella diócesi: para la segunda á D. Josef Antonio Tuñon y Llamas: para la ración de este á Don Nicolás Merino; y para esta vacante á D. Alexo de la Cueva, cura de aquel</t>
  </si>
  <si>
    <t>Mariano de Espinosa</t>
  </si>
  <si>
    <t>73* . Quien supiere el paradero de D. Mariano de Espinosa, natural de Patencia, viudo de Doña María de Sanz y Labin, nombrado heredero de D, Josef Sanz , mercader en Santander, se servirá participarlo á D. Ramón de Baíleme, vecino y del</t>
  </si>
  <si>
    <t>Mariano de Exea</t>
  </si>
  <si>
    <t>. Andrés Cosme: consiliarios seculares el Sr. Marques de Valera , ei Sr. D. Gaspar Morera, y el S*\ D. Mariano de Exea: secretario i.° D. Luis Valcedo, i.° D. Antonio Guijarro: procurador D. Gaspar Teruel: contadores el Sr. barón de Manuel y D. Jayme Manent: tesorero D. Pedro Bergeyre : celadores</t>
  </si>
  <si>
    <t>Mariano de Grijalba, Juan</t>
  </si>
  <si>
    <t>Juan Mariano de Grijalba</t>
  </si>
  <si>
    <t>D. Gerónimo Bonilla yáD. Andrés Mariano Perez jde ¡Valencia ? para la tesorería que este obtiene á D. Juan Mariano de Grijalba: para la ración que este dexa á D. Francisco Xavier Rodríguez; y para la media-ración que resulta vacante á D. Josef Hipólito Pagés, cura en el obispado de Maracaybo. Para las can</t>
  </si>
  <si>
    <t>Mariano de Larra</t>
  </si>
  <si>
    <t>ada.su muerte, y.será perpetuamente honrada, su: memoria,. MEDICINA.. El Dr. D. Mariano de Larra, Médico titular de la ciudad de Corella en el reyno dé Navarra, ha remitido una carta j^cuyo objeto es. de importancia; la extractaremos aquí.. „ Varias veces,, dice,, he ensayado para la</t>
  </si>
  <si>
    <t>Mariano de Mendoza, Ignacio</t>
  </si>
  <si>
    <t>Ignacio Mariano de Mendoza</t>
  </si>
  <si>
    <t>á por la escribanía de la comisión, que desempeña D. Salvador de Aula y Aragues. Por providencia de D. Ignacio Mariano de Mendoza, juez subdelegado en el partido de la ciudad deLoxa, diócesi de Granada, para la venta de bienes eclesiásticos, se ha señalado el dia 29 del presente para el remate de las fincas</t>
  </si>
  <si>
    <t>se trata de ser generoso con un enemigo rendido &amp;c. &amp;c. &amp;:c. VENTAS JUDICIALES. Por providencia de D. Ignacio Mariano de Mendoza, juez subdelegado en el partido de Loxa, diócesi de Granada, para la venta de bienes eclesiásticos, se ha señalado el dia 27 del presente para el remate de un cortijo denominado d</t>
  </si>
  <si>
    <t>siere hacer postura lo ejecutará por la escribanía que ejerce D. Josef de Covos. Por providencia de D. Ignacio Mariano de Mendoza, juez subdelegado en el partido de la ciudad de Loxa, diócesi de Granada, para la venta de bienes eclesiásticos, se ha señe lado el dia 5 del presente para el remate de las fincas</t>
  </si>
  <si>
    <t>Mariano de Solas, Pedro</t>
  </si>
  <si>
    <t>Pedro Mariano de Solas</t>
  </si>
  <si>
    <t>naderos, graduado de capitán, D. Josef Salomón; y en el de Ultonia subtenencia de bandera ai cadete D. Pedro Mariano de Solas.</t>
  </si>
  <si>
    <t>Mariano de Toledo, Miguel</t>
  </si>
  <si>
    <t>Miguel Mariano de Toledo</t>
  </si>
  <si>
    <t>¡su consagrante, elk limo. Sr. D. Manuel Verdugo, ' obispo de aquellas islas, asistentes ios SresV D. Miguel Mariano de Toledo,</t>
  </si>
  <si>
    <t>Mariano de Zayas</t>
  </si>
  <si>
    <t>568.™. Quien quisiere hacer postura..lo practicará por la escribanía de la comisión, que, desempeña D. Mariano de Zayas. Por providencia de D. Manuel Antonio Palacios, corregidor de la ciudad de Víllena, é interino de la villa de Requena, provincia de Cuenca, subdelegado para la venta de bienes ecl</t>
  </si>
  <si>
    <t>rs. Quien quisiere hacerpostura, lo executará por la escribanía de la comisión, qu® está á cargo de D. Mariano de Zayas. Quien quisiere hacer mejora á una casa sita en la calle nueva de Peligros de esta corte, esquina á la de los Jardines, núm. 1, manz. 292 , tasada en 125,390 rs., á la qual se ha</t>
  </si>
  <si>
    <t>Mariano Eduardo O-Phelan</t>
  </si>
  <si>
    <t>ía también disciplinada de Arequipa á portaestandartes á los cadetes D. Tiburcio del Calvo y Cosío, Don Mariano Eduardo O-Phelan, D. Juan Mariano Goyeaeche y D. Estanis—</t>
  </si>
  <si>
    <t>Mariano Gabriel Paredes</t>
  </si>
  <si>
    <t>D. Leonardo Arbe ; á tenientes á los subtenientes D. Agustín Cáceres , D. Manuel Claudio Villauri, D. Mariano Gabriel Paredes, Don Juan Antonio Velarde y Neyra, D. Josef Dávila y D. Rafael Olazabal, y á subtenientes de bandera á los cadetes D. Francisco 'Olazabal y D. Josef María Martinez Orihuela. En el</t>
  </si>
  <si>
    <t>Mariano Goyeaeche, Juan</t>
  </si>
  <si>
    <t>Juan Mariano Goyeaeche</t>
  </si>
  <si>
    <t>quipa á portaestandartes á los cadetes D. Tiburcio del Calvo y Cosío, Don Mariano Eduardo O-Phelan, D. Juan Mariano Goyeaeche y D. Estanis—</t>
  </si>
  <si>
    <t>Mariano Gras</t>
  </si>
  <si>
    <t>esidente de la sociedad de aquel pueblo, ofreció un premio de f 00 rs. si io hacia en su presencia. D. Mariano Gras, vecino de Valencia, que no solo fue de los primeros en hacerle, sino que ofreció gastar en pruebas 200 pesos fuertes, y mejoró, mediante la saturación con el carbonate, ió cargas</t>
  </si>
  <si>
    <t>Mariano Ibáñez</t>
  </si>
  <si>
    <t>Josef Isla , D. Josef Cacho y D. Josef Alvarez; á D. Ramón Arce y D. Rafael Sousa al segundo , y i D. Mariano Ibañez al terceros En la de segundo año de matemáticas, dei cargo, en el presente curso, de D. Agustín de Sojo, á D. Josef Salazar al primero, y áD. Josef Chacón y D. Manuel Blanco al se</t>
  </si>
  <si>
    <t>Mariano Lagasca</t>
  </si>
  <si>
    <t>coger materiales para la Flora. Fueron al intento destinados á diversas provincias el viee-profesor D. Mariano Lagasca, que recorrió las montañas, y toda la costa de Asturias, y después el vice-profesor D. Jcsef Demetrio Rodríguez, que recorrió el reyno de Sevilla, y parte de la costa, á tiempo qu</t>
  </si>
  <si>
    <t>Mariano Lozano</t>
  </si>
  <si>
    <t>de exército agregado al espiado mayor de la plaza de Mahon, vacante por muerte dé D. Rafael Pons; á D. Mariano Lozano para otra de la colegial de Sta. María de la ciudad de Calatayud, obispado de Tarazo na ,* vacante por fallecimiento de D. Francisco Mallorcas: á D. Antonio Roig para la canongía</t>
  </si>
  <si>
    <t>Mariano Melgosa</t>
  </si>
  <si>
    <t>da en la real aduana, y en las provincias á los comisionados siguientes^ - - ~ En Albacete......... D. Mariano Melgosa. En Alicante......... D. Juan Gasou y compañía. En Avila............... D. Josef Piqueras Gómez. En Badajoz*........ D. Francisco Fernandez de la Peña y S. Miguel* En Barcelona...</t>
  </si>
  <si>
    <t>n situada en la real aduana, y en las provincias i los comisionado» siguientes: En Albacete.........D. Mariano Melgosa. En Alicante..........D. Juan Casou y compañía. En. Avila............. D. Josef Piqueras- Gómez. En Badajoz......... D. Francisco Fernandez' de la Peña y S. Miguela En. Barcelona.</t>
  </si>
  <si>
    <t>Mariano Moxo</t>
  </si>
  <si>
    <t>ves, sargento mayor del mismo cuerpo; y la subtenencia de bandera del segundo de Cataluña al cadete D. Mariano Moxo. En el regimiento de caballería del Infante se ha servido S. M. conceder ayudantía al teniente D. Josef Broceta, y empleo de portaestandarte al cadete D. Juan Antonio Ximenez. Tam</t>
  </si>
  <si>
    <t>Mariano Muñoz</t>
  </si>
  <si>
    <t>a tenido, y autores que mas han sobresalido en la propiedad y pureza del lenguage: en el 2.0 empezó D. Mariano Muñoz con otro discurso , cuyo tema era, que no admitiendo la lengua latina ninguna alteración, no hay por consiguiente mas que un verdadero camino de enseñar la latinidad, y que esta d</t>
  </si>
  <si>
    <t>Mariano Pérez</t>
  </si>
  <si>
    <t>is de1 Monroy en la diócesis de Plasencia, vacante por fallecimiento de D. Miguel Cerrato-Corral, á D. Mariano Perez : para los beneficios simples de la parroquia de S. Salvador de la villa de Talavera en el arzobispado de Toledo, y de la de Sta. Leocadia de esta ciudad, vacantes por muerte de D</t>
  </si>
  <si>
    <t>Mariano Pió del Rivero</t>
  </si>
  <si>
    <t>el Sermo. Sr. Príncipe de la Paz, Generalísimo Almirante, dedicado á los reyes nuestros señores por D. Mariano Pió del Rivero. Se hallará en la librería de Fuentenebro, calle de las Carretas, en ja de Castillo, frente á las gradas de S. Felipe, en la de Orea, red de S. Luis, y en la de Villa, plazuela de</t>
  </si>
  <si>
    <t>Mariano Praues</t>
  </si>
  <si>
    <t>43," 8. Mariano Praues ....... de Pablo ....... Bochar de MoreHa ........ 1801.. Muert. 102 ... 9. Manuel Jayrne ......... de Josef. ....... Valencia ...................... 180</t>
  </si>
  <si>
    <t>Mariano Ramírez, Ángel</t>
  </si>
  <si>
    <t>Ángel Mariano Ramírez</t>
  </si>
  <si>
    <t>Rafael González y D. Vicente Ferro; á Alféreces á los Cadetes D. Mariano Campana, D. Juan Alegría, D. Angel Mariano Ramírez y D. Martin de Concha; y á Portaestandarte al Cadete D. Manuel Orihuela. En el Regimiento Provincial de dragones de Mechoacan, en el Reyno de Nueva-España, se ha servido S. M. promove</t>
  </si>
  <si>
    <t>Mariano Romay</t>
  </si>
  <si>
    <t>e granaderos D. Millan Moreno y D. Marcos Quíntela; á subtenientes de granaderos á los de fusileros Don Mariano Romay y D. Josef de la Torre; y á subtenientes de bandera al cadete D. Joaquín Barreyro,y al sargento primero D. Antonio Casas. Asimismo se ha servido S. M. conferir el empleo de coronel de</t>
  </si>
  <si>
    <t>Mariano Roselló</t>
  </si>
  <si>
    <t>. Marcos Ignacio Roselló para una canongía de la catedral de Mallorca, vacante por fallecimiento de D. Mariano Roselló: áDon Lorenzo Marco para un beneficio'de la parroquial de Santiago de Zaragoza, vacante por muerte de D. Francisco-Sartolo: á D. Pedro Domínguez Ruiz, cura de la"villa de Ólmedill</t>
  </si>
  <si>
    <t>Mariano Santander y Álvarez</t>
  </si>
  <si>
    <t>o. Y en la de química, creada en este año por la sociedad coa real aprobación, se adjudicó el t.° á D. Mariano Santander y Alvarez: 2.0 á D. Mateo Seoane: 3.0 á D. Telesforo Barrio; y atendiendo á lo bien que desempeñó el exercicio D. Antonio Bergañ» se le dió un aecessit: los premios consistían en libros sel</t>
  </si>
  <si>
    <t>Mariano Ubach</t>
  </si>
  <si>
    <t>nd, que empezó i conservar en almíbar de mascabado los melocotones y frutas sobrantes de su pueblo. D. Mariano Ubach, en Barcelona. D. Joaquín García Domenecn, en Vinaroz. D. Pedro Borgunio, en Alicante. D. Antonio Díaz, en Paniza, campo de Cariñena. D. Manuel Mancharas, en la Puebla de Montalva</t>
  </si>
  <si>
    <t>Mariano Unzaga St</t>
  </si>
  <si>
    <t>a tenido á bien el Rey premiar su aplicación promoviendo á Subtenientes del expresado Real Cuerpo á D. Mariano Unzaga St. Maxent y Paniza, D.; Pedro Valera Víaña y Valera, D. Francisco Machado Salcedo Yañes de Burgos, D. Carlos, Miyares Mancebo y Lo} zaga, D. Francisco Betbecé Llano y Marroco , D. S</t>
  </si>
  <si>
    <t>Mariano Velez, Francisco</t>
  </si>
  <si>
    <t>Francisco Mariano Velez</t>
  </si>
  <si>
    <t>ra la abadía de la colegiata de nuestra señora de Guadalupe de México, vacante por fallecimiento de D. Francisco Mariano Velez , á D. Francisco Beye de Cisneros, doctoral de la misma colegiata: para la ración vacante en la metropolitana de México, por muerte de D. Josef Mariano Ramírez, á D. Isidoro Sainz</t>
  </si>
  <si>
    <t>Mariano Villellas de Mola</t>
  </si>
  <si>
    <t>itán primero agregado al segundo batallón de voluntarios de Aragón. : s. m. se ha servido nombrar á D. Mariano Villellas de Mola para una de las d,ps varas de alcaldfe mayor de la*ciudad de Barcelona; yá D; Francisco Gutiérrez López Caravantes para la de la ciudad dé Jaca.' 1 Mn América. El Rey se ha servid</t>
  </si>
  <si>
    <t>Mariano, Francisco</t>
  </si>
  <si>
    <t>Francisco Mariano</t>
  </si>
  <si>
    <t>Francisco Renota. El Rey se ha servido conferir el regimiento de caballería del Infante al coronel D. Francisco Mariano, teniente coronel del de la Reyna; y en el de Montesa tenencia al alférez D. Francisco de Paula Gniz. S. M. se ha servido conferir compañía en el regimiento de dragones de Almansa</t>
  </si>
  <si>
    <t>Marimon, Ramón</t>
  </si>
  <si>
    <t>Ramón Marimon</t>
  </si>
  <si>
    <t>pigny, teniente coronel del regímienio.dé reales guardias Valonas: 3 mariscal de campo al brigadier D. Ramón Marimon , sargento mayor, del de reales guardias Es</t>
  </si>
  <si>
    <t>Marín, Francisco</t>
  </si>
  <si>
    <t>Francisco Marín</t>
  </si>
  <si>
    <t>r en el'regimiento de infantería de Murcia subtenencia de bandera al sargento primero de granaderos D. Francisco Marín.</t>
  </si>
  <si>
    <t>Marín, Joaquín</t>
  </si>
  <si>
    <t>Joaquín Marín</t>
  </si>
  <si>
    <t>btenientes á D, Aureliano Carabeo, este de granaderos, D. Atanasio Domínguez, y al sargento primero D. Joaquín Marín. El rey se ha dignado nombrar á D. Josef Montemayor, juez de la audiencia de Grados de la ciudad de Sevilla, para la plaza de juez civil de la ciudad de Cádiz: á D. Clemente de Ca</t>
  </si>
  <si>
    <t>uc-ta ab Joachimo Marín el' Mendoza: un tomo en 4.0—. Mistaría del derecho natural y de gentes, por D. Joaquín Marín. Se hallarán en la imprenta y librería de Barco López, calle de la Cruz; y en dicha imprenta se están concluyendo los 2 tomos Elementa iuris civilis sccundum ordinem Pandectarum,</t>
  </si>
  <si>
    <t>Marín, Nicolás</t>
  </si>
  <si>
    <t>Nicolás Marín</t>
  </si>
  <si>
    <t>mpañía en el regimiento de infantería de Voluntarios de la Corona al Ayudante, graduado de Capitán, D. Nicolás Marín: Tenencia en el de Ñapóles al Subteniente de granaderos D. Josef Bilbao la Vieja; y Subtenencia de bandera en el regimiento de infantería de España al Cadete D. Miguel Riech y Col</t>
  </si>
  <si>
    <t>Marmont, General</t>
  </si>
  <si>
    <t>General Marmont</t>
  </si>
  <si>
    <t>* toda ella la mayor tranquilidad, y particularmente en elJleynó de Ñipóles. Ei quartel del General Marmont se halla en Spalatro. Se dice que han desembarcado en Marcasca algunos millares de Rusoc que habia en Corfú. Milán 4 de Diciembre., ^ En el mes de Noviembre se prohibió en todo el</t>
  </si>
  <si>
    <t>Marques y Espejo, Antonio</t>
  </si>
  <si>
    <t>Antonio Marques y Espejo</t>
  </si>
  <si>
    <t>el célebre John Adatm, se ha recopilado y traducido al castellano por el Dr. D. Antonio Marques y Espejo, presbítero. Se venden en la librería de Castillo, frente á las gradas de S. Felipe, á 6o rs. en pasta y 50 en rústica los 5 tomos de que consta. Las obras del famoso poeta Juan de Mena, corr</t>
  </si>
  <si>
    <t>Marques, Vicente</t>
  </si>
  <si>
    <t>Vicente Marques</t>
  </si>
  <si>
    <t>sco Alberto Miró: celadores sécula** reí ídem el Sr. Fr. D. Alberto Adell, del orden de San Juan, y D. Vicente Marques; y celadores de las obras de los presos D. Juan Cros, D. Manuel Muñoz, D. Francisco BoschyD. Joaquín Puchalt. Concluí Ja la elección se dio cuenta de los socios que han fallecido</t>
  </si>
  <si>
    <t>Marquesi, Fernando</t>
  </si>
  <si>
    <t>Fernando Marquesi</t>
  </si>
  <si>
    <t>prioral del Puerto de Santa Maiía, diócesi de Sevilla, vacante por muerte del cardenal de Yorck, á D. Fernando Marquesi , con la pensión de la tercera parte de sus productos para los curas de la propia iglesia; y para el pontifical del Sarro, en la vicaría de Utrera, de la misma diócesi de Sevilla,</t>
  </si>
  <si>
    <t>Marquesi, Luis</t>
  </si>
  <si>
    <t>Luis Marquesi</t>
  </si>
  <si>
    <t>lférez en propiedad ¿l exento Di Pablo Mesina ; y ha promovido á exento de número al supernumerario D. Luis Marquesi; á supernumerario al brigadier D. Frahcisco Oviedo; á.brigadier al subrUadier D. Alexo de Santa María;, á subrigadier al cadete garzón D. Blas Perezá. cadete^ de número al su</t>
  </si>
  <si>
    <t>Márquez, Juan Francisco</t>
  </si>
  <si>
    <t>Juan Francisco Márquez</t>
  </si>
  <si>
    <t>l arcedianato que este dexa al chantre Don Josef María S. Martin; para la chantría ai maestrescuela D. Juan Francisco Márquez, y para esta resulta al canónigo doctoral D. Juan Miguel Fialíos: para la dignidad de tesorerp de la misma catedral, vacante por muer</t>
  </si>
  <si>
    <t>Martel, Miguel</t>
  </si>
  <si>
    <t>Miguel Martel</t>
  </si>
  <si>
    <t>nso: para una media ración de la catedral de Salamanca, vacante por muerte de D. Josef Domínguez, i D. Miguel Martel, catedrático de filosofía moral de la universidad de aquella ciudad: para el préstamo de la parroquial del lugar de Castel Ruiz, jurisdicción de la villa de Agreda, diócesi de Tar</t>
  </si>
  <si>
    <t>Martí y Prats-para, Miguel</t>
  </si>
  <si>
    <t>Miguel Martí y Prats-para</t>
  </si>
  <si>
    <t>n, vacante por promoción de Don Pedro Antonio Fernandez á; la dignidad de tesorero de la misma i á Don Miguel Martí y Prats-para un beneficio de la catedral ule Gerona, vacante por fallecimiento de D. Miguel Ros, y por no haber tenido efecto el nombramiento hecho para este mismo beneficio en D. Jaynie Donay</t>
  </si>
  <si>
    <t>Marti, Antonio</t>
  </si>
  <si>
    <t>Antonio Marti</t>
  </si>
  <si>
    <t>resiJ. 8 20 ... ~7. Antonio Marti ........ dt: Sa1vador.•• Canales de S. I.. elipe ...... 1797 .. Muert• . 39 1 ... 2 7. Antonio Alcañiz ..... ueCristóbal.. Benimamet de Valencia. 1801 ..</t>
  </si>
  <si>
    <t>Martí, Juan</t>
  </si>
  <si>
    <t>Juan Martí</t>
  </si>
  <si>
    <t>principios de este mes han pasado por aquel departamento las tropas españolas del mando del coronel D. Juan Martí, y que han sido recibidas en todas partes con la mayor cordialidad y afecto. Én Beford y Colmar se les han dado banquetes y festejos en que han brillado la franqueza, la alegría y</t>
  </si>
  <si>
    <t>Martia Fernández de Ñavarrete</t>
  </si>
  <si>
    <t>sabel de Castilla, que había trabajado por encargo de la propia academia. Y por último el académico D. Martia Fernandez de Ñavarrete leyó un epítome de la disertación escrita por D. Josef de Vargas y Ponce, director actual del cuerpo, que presidió la junta, sobre el origen é introducción de las fiestas de toros</t>
  </si>
  <si>
    <t>Martines Ucamuzaga, Pedro</t>
  </si>
  <si>
    <t>Pedro Martines Ucamuzaga</t>
  </si>
  <si>
    <t>al teniente D. Juan de Berindoaga , á ayudante al teniente D- Luis Serrano , á teniente al alférez D. Pedro Martines Ucamuzaga r y á portaguiones aL cadete D. Francisco Naranjo y al sargento primero B. Francisco Terrones, En las dos compañías sueltas de milicias disciplinadas de infantería del partido de</t>
  </si>
  <si>
    <t>Martínez Aítube, Francisco Xavier</t>
  </si>
  <si>
    <t>Francisco Xavier Martínez Aítube</t>
  </si>
  <si>
    <t>ó la fiesta con un concierto público. ‘ • ESPAÑA. Madrid 17 de julio. S. M. se ha servido nombrar á D. Francisco Xavier Martínez Aítube para una ración de la parroquial de Magallon, diócesi de Zaragoza, vacante por muerte de D.Josef Vidal: á D. Francisco Xavier Berne para otra de la de Pina, en la misma diócesi ,</t>
  </si>
  <si>
    <t>Martínez Castrillon, Nicolás</t>
  </si>
  <si>
    <t>Nicolás Martínez Castrillon</t>
  </si>
  <si>
    <t>rvidero sacristía de la parroquia de Riva de Sella, diócesi de Oviedo, vacante por no haber acudido D. Nicolás Martínez Castrillon á sacar el título de presentación del citado beneficio, para el que tuvo á bien S. M. de nombrarle por real decreto de 24 de julio de 1798, á D. Bernardo Antonio González Perez, p</t>
  </si>
  <si>
    <t>Martínez de Alarcon, Marcos Antonio</t>
  </si>
  <si>
    <t>Marcos Antonio Martínez de Alarcon</t>
  </si>
  <si>
    <t>Beneficio de la Parroquial de la villa de Tinajas, en la Diócesis de Cuenca, vacante pór muerte de D. Marcos Antonio Martínez de Alarcon, á D. Juan Antonio Vázquez y Ribero, Clérigo de Menores'* con la obligación que le e$ anexa de alternar por semanas con el Párroco y otro Beneficiado en la misa conventual y demas</t>
  </si>
  <si>
    <t>Martínez de Aparicio, Andrés</t>
  </si>
  <si>
    <t>Andrés Martínez de Aparicio</t>
  </si>
  <si>
    <t>s. viuda de Ramiro y Martin. En Sevilla............. D. Josef María Gómez. En Soria................ D. Andrés Martínez de Aparicio. En Toledo......... . Sres. Chavarri y Posadillo. En Valencia.......... Sres. D. Francisco Peyrolon y compañía. En Valladolid...... D. Francisco Durango é hijo mayor. En Zamora...</t>
  </si>
  <si>
    <t>res. viuda de Ramiro y Mesa. En Sevilla............. D. Josef María Gómez. jEn Soria........... ... D. Andrés Martínez de Aparicio. En Toledo........ Sres. Chavarri y Posadillo. T«&gt;r(i..í........... Di Josef de Ligero. En Valentía......... Sres. D. Francisco Peyrolott y compañía. En Valladolid....... D.Franci</t>
  </si>
  <si>
    <t>. Sres. viuda de Ramiro y Mesa. En Sevilla.............D.. Josef María Gómez. En Soria........... . D. Andrés Martínez de Aparicio. Mn Toledo........ . Sres.-Chavarri y Posadillo.</t>
  </si>
  <si>
    <t>Martínez de Ariza, Rafael</t>
  </si>
  <si>
    <t>Rafael Martínez de Ariza</t>
  </si>
  <si>
    <t>al cadete D. Martin Carreño y Ramírez. El rey se ha servido conceder los honores de su secretario á D. Rafael Martínez de Ariza. \ , i El rey se ha servido nombrar para el empleo de guarda-almacén extraordinario de artillería de la plaza de Vigo á D. Antonio Martínez. En los dias 25 de octubre y £4 de ener</t>
  </si>
  <si>
    <t>Martínez de Cisne, Francisco</t>
  </si>
  <si>
    <t>Francisco Martínez de Cisne</t>
  </si>
  <si>
    <t>uez y Adorna, 2060 al de D. Francisco MartinezSisniega, 2061 al.de D. Cristóbal García, 2o6z al. de D. Francisco Martínez de Cisne**</t>
  </si>
  <si>
    <t>Martínez de España, Pedro</t>
  </si>
  <si>
    <t>Pedro Martínez de España</t>
  </si>
  <si>
    <t>las parroquias de Villaesctisa de Hako y Castejon, en la diócesi de Cuenca, vacantes por muerte de D. Pedro Martínez de España, á D. Juan Josef Rodtfgo de Mena. r 11 s VENTAS JUDICIALES. Por providencia de D. Josef Jacinto Teruel , comisionado regio para la venta de bienes eclesiásticos : secularizados en</t>
  </si>
  <si>
    <t>oquia de Santa María de la villa de Alarcon, en la diócesis de Cuenca, vacante por fallecimiento de D. Pedro Martínez de España, y préstamo de la parroquia de S. Cosme y S. Damian de Raheces, en el obispado de Oviedo, vacante por promoción de D. Juan Alonso Gorjon al deanato de la catedral de Avila, á D. F</t>
  </si>
  <si>
    <t>Martínez de Galinsoga, Francisco</t>
  </si>
  <si>
    <t>Francisco Martínez de Galinsoga</t>
  </si>
  <si>
    <t>mes, dirigido á la cámara, se ha servido .el Rey resolver que el oidor de la audiencia de la Coruña D. Francisco Martínez de Galinsoga pase de oidor supernumerario á la de Cáceres: para la plaza, que este dexa en la referida audiencia de la Coruña, ha nombrado S. M. á D. Francisco Anido Fernandez, alcalde del cri</t>
  </si>
  <si>
    <t>Martínez de Huete, Fernando</t>
  </si>
  <si>
    <t>Fernando Martínez de Huete</t>
  </si>
  <si>
    <t>baresta resulta á Don Manuel Pereyra, y la plaza que este dexa de único Oficial del mismo archivo á D. Fernando Martínez de Huete, E1 Capítan de fragata D* Juan de Tiscar anuncia que en la mañana del dia 21 del presente mes de febrero debe eclipsar la luna á la. estrella segunda alfa de la constelación de cá</t>
  </si>
  <si>
    <t>Martínez de la Mata, Pedro Miguel</t>
  </si>
  <si>
    <t>Pedro Miguel Martínez de la Mata</t>
  </si>
  <si>
    <t>Quintana. El dia xi de febrero de este año falleció en est^corte, á los64 años no cumplidos el Sr. D. Pedro Miguel Martínez de la Mata^ caballero pensionado de la real y distinguida orden de Carlos m, y ministro decano del real y supremo consejo de Hacienda. Empezó su carrera en la secretaría de estado y del desp</t>
  </si>
  <si>
    <t>Martínez de los Ríos, Juan</t>
  </si>
  <si>
    <t>Juan Martínez de los Ríos</t>
  </si>
  <si>
    <t>as canongías doctoral y magistral de la¡ catedral de Guadalaxara» vacante la primera por ascenso de D. Juan Martínez de los Ríos á la tesorería , y la segunda por muerte de D. Agustín del Rio, á D. Miguel Ignacio de Girate, y á D. Josef María Hidalgo. El Rey se ha dignado conceder ayudantías veteranas en lo</t>
  </si>
  <si>
    <t>Martínez de los Ríos, Miguel</t>
  </si>
  <si>
    <t>Miguel Martínez de los Ríos</t>
  </si>
  <si>
    <t>na ración de la catedral dé Puebla de los Angeles, vacante por muerte de D. Juan Sánchez Soriano, á D. Miguel Martínez de los Ríos; para la media ración que obtiene á D. Francisco Vázquez del Campo, cura en el arzobispado de México. También se ha dignado el Rey conferir el empleo de teniente asesor del gobier</t>
  </si>
  <si>
    <t>Martínez de Pinillos, Manuel</t>
  </si>
  <si>
    <t>Manuel Martínez de Pinillos</t>
  </si>
  <si>
    <t>9S2 D. Manuel Martínez de Pinillos y D. Juan Martínez de Píníllos, y i los soldados distinguidos D. Josef López Merino y D. Martin O tolaza; y á portaestandartes á D. Josef Antonio Solís, D. Josef Clemente Merino y D.</t>
  </si>
  <si>
    <t>Martínez de Rajas, Félix</t>
  </si>
  <si>
    <t>Félix Martínez de Rajas</t>
  </si>
  <si>
    <t>eldz: para la dignidad de prior, primera silla de la catedral de Osma, vacante por fallecimiento de D. Félix Martínez de Rajas, á D. Francisco Mambriüa Monzon; y para una canongía de la colegial de Antequera, en la diócesi de Málaga, vacante por muerte de D. Víctor Josef Tonier, á D. Matías de Hita. Él Re</t>
  </si>
  <si>
    <t>Martínez de Viliela, Ignacio</t>
  </si>
  <si>
    <t>Ignacio Martínez de Viliela</t>
  </si>
  <si>
    <t>Gómez; en inteligencia de que sé ha de rematar el dia 16 de noviembre próximo ¿n la posada del Sr. D. Ignacio Martínez de Viliela, del consejo supremo de la Guerra, carrera de S. Gerónimo.</t>
  </si>
  <si>
    <t>Martínez de Villela, Ignacio</t>
  </si>
  <si>
    <t>Ignacio Martínez de Villela</t>
  </si>
  <si>
    <t>io Gómez; en inteligencia de que ha de rematarse el dia 2 de diciembre próximo en la posada del Sr. D. Ignacio Martínez de Villela , del consejo supremo de la Guerra, carrera de S. Gerónimo» AVISOS* Por providencia de 19 del corriente, dada por el Sr. D. Juan Perez Villamil, del consejo de S. M., su auditor g</t>
  </si>
  <si>
    <t>l consejo de 16 de mayo de 1792 , he venido en nombrar por tal superintendente general de policía á D. Ignacio Martínez de Villela , con antigüedad y plaza efectiva en mi consejo real, y con las mismas obligaciones, facultades y jurisdicción que egi el expresado decreto se contienen, que se tendrá aquí por in</t>
  </si>
  <si>
    <t>emate se ha de celebrar dentro de óo dias contados desde el 9 del presente. Por providencia del Sr. D. Ignacio Martínez de Villela, del supremo consejo de Castilla , se manda vender una casa principal, fábrica de xabon y de beneficiar aceite, sita en la villa de Ócafíá» tasado todo en 7*,185 rs. Quien quisier</t>
  </si>
  <si>
    <t>Martínez Delgado, Pedro</t>
  </si>
  <si>
    <t>Pedro Martínez Delgado</t>
  </si>
  <si>
    <t>eniente al alférez D. Manuel Novales ; á alférez al portaguión D. Santiago Rosi, y á esta resulta á D. Pedro Martínez Delgado , vecino de la jurisdicción del mismo cuerpo. En cumplimiento de las reales cédulas de 15 de julio y 29 de noviembre de 1797? se recibirán en la tesorería mayory en las de exércit</t>
  </si>
  <si>
    <t>Martínez Gil, Manuel</t>
  </si>
  <si>
    <t>Manuel Martínez Gil</t>
  </si>
  <si>
    <t>quiera mostrarse pretendiente á dicha cátedra, siendo exSrmmdo y aprobado de preceptor, acuda ante D. Manuel Martínez Gil, cura párroco, y el licenciado D. Rodrigo Pascual Benítcz, abogado en dicha villa, dentro dd término de 15 dias contados desde este, quienes la proveerán en el mas benemérito. 1IB</t>
  </si>
  <si>
    <t>Martínez Malo, Manuel</t>
  </si>
  <si>
    <t>Manuel Martínez Malo</t>
  </si>
  <si>
    <t>deros á los de fusileros D. Joaquín Palacio y D. Miguel Carballo, y de fusileros á los subtenientes D. Manuel Martínez Malo, de granaderos, D. Henrique O-Neille , D. Juan de Bustos, D. Josef Víctor Salcedo, D. Josef del Rox, D. Luis Antonio Merlano y D. Manuel de Medina.; á subtenientes de granaderos á</t>
  </si>
  <si>
    <t>Martínez Molina, Manuel</t>
  </si>
  <si>
    <t>Manuel Martínez Molina</t>
  </si>
  <si>
    <t>o de 1743 para D. Manuel Jacinto de. Bringas: la persona á quien corresponda acudirá á recogerla de D, Manuel Martínez Molina, capellán de S. Gerónimo en dicha ciudad de Cuenca. Se halla vacante la plaza de médico titular de la villa de Belalcazar, pueblo de 700 vecinos, en la provincia de Extremadura. T</t>
  </si>
  <si>
    <t>Martínez Puiredon, Juan</t>
  </si>
  <si>
    <t>Juan Martínez Puiredon</t>
  </si>
  <si>
    <t>Manuela la Tucumanesa* También ha concedido S. M. cruces de la real orden española de Cárlbs III á D. Juan Martínez Puiredon, D. Diego Alvarez Barragana y D. JuamJFantin, que, como voluntarios, hicieron servicios de Ja mayor consideración; y los dos últimos están gravemente heridos* A los sargentos y ca</t>
  </si>
  <si>
    <t>Martínez Román Cayon, Lorenzo</t>
  </si>
  <si>
    <t>Lorenzo Martínez Román Cayon</t>
  </si>
  <si>
    <t>stañon , abogado de los reales consejos; y para otra plaza de agente -del número de los de Indias á D. Lorenzo Martínez Román Cayon. El capitán de fragata D. Antonio Bacaro, comandante interino del apostadero de Algeciras, ha dado el parte siguiente al Serenísimo-Señor Príncipe Generalísimo Almirante con fecha</t>
  </si>
  <si>
    <t>Martínez San Martín, Pedro</t>
  </si>
  <si>
    <t>Pedro Martínez San Martín</t>
  </si>
  <si>
    <t>de la metropolitana de Burgos, vacante por fallecimiento de D. Ramón Campuzano Íregio Salamanca, á D. Pedro Martínez San Martin, presbítero, director del code sordo-mudos de esta corte: para una canongía de la catedral de Cartagena, vacante por promoción de I). Eugenio García al arcedianato titular de la m</t>
  </si>
  <si>
    <t>Martinez Santa Ana, Diego</t>
  </si>
  <si>
    <t>Diego Martinez Santa Ana</t>
  </si>
  <si>
    <t>. 682 ... 15· Diego Martinez Santa Ana ................... de Luis......... Morata)!a .................... 1795 .. Liceac. 1.6 ... 23' Domingo E~caray .... de Juan ........ Calahorra ....................</t>
  </si>
  <si>
    <t>Martínez Terrova, Vicente</t>
  </si>
  <si>
    <t>Vicente Martínez Terrova</t>
  </si>
  <si>
    <t>do : para la canongía de la colegiata del Salvador de la ciudad de Granada, vacante por promociónde D. Vicente Martínez Terrova á la dignidad de arcediano titular de la catedral dePlasencía, á D. Antonio María Hidalgo: para otra canongía vacante en la colegial de Santillana » diócesi de Santander, por prom</t>
  </si>
  <si>
    <t>Martínez Val, Francisco</t>
  </si>
  <si>
    <t>Francisco Martínez Val</t>
  </si>
  <si>
    <t>Roxas, juez comisionado para el conocimiento y substanciación de los autos del concurso formado por D. Francisco Martínez Val lej o, del comercio que fue de paños en esta corte, cuidado de sus efectos , y hacer pago á sus legítimos acreedores, se hace saber á todas las personas, comunidades v compañías q</t>
  </si>
  <si>
    <t>Martínez, Antonio</t>
  </si>
  <si>
    <t>Antonio Martínez</t>
  </si>
  <si>
    <t>servido nombrar para el empleo de guarda-almacén extraordinario de artillería de la plaza de Vigo á D. Antonio Martínez. En los dias 25 de octubre y £4 de enero últimos se hizo á la vela de los puertos de Cádiz y de Ayamonte el místico, correo de S. M., San Juan Bautista con las correspondencias de</t>
  </si>
  <si>
    <t>rtilleros veteranos del departamento de Lima á D. Juan Subirats, capitán segundo de las mismas, y á D. Antonio Martínez, capit2n regnndo y ayudante mayor de las del departamento de Buenos-Ayres: para el de capiran de las compañías fixas de artilleros veteranos del departamento de Chile á D. Santiag</t>
  </si>
  <si>
    <t>Martínez, Domingo</t>
  </si>
  <si>
    <t>Domingo Martínez</t>
  </si>
  <si>
    <t>nante, del reyno animal: D. Tadeo Poza, farmacéutico, de la preparación de las aguas artificiales : D. Domingo Martínez, farmacéutico, de la luologia ; y D. Juan Josef Bagnena, farmacéutico, de los metales.___Acreditaron después en sus respuestas el mayor conocimiento y exactitud, é hicieron con pu</t>
  </si>
  <si>
    <t>bre. El Rey se ha servido conceder en el regimiento de infantería de Málaga tenencia al subteniente D. Domingo Martínez. En el regimiento de dragones de Villaviciosa se ha servido S. M. conferir compañía al ayudante, graduado de capitán, D. Alonso Arjona; ayudantía al teniente D. Salvador Moxo; ten</t>
  </si>
  <si>
    <t>Martínez, Fernando Ventura</t>
  </si>
  <si>
    <t>Fernando Ventura Martínez</t>
  </si>
  <si>
    <t>periódico,como se executa , á todas y qualesquiera personas que presuman tener mejor dere-\ cho que D. Fernando Ventura Martínez, vecino de Sevilla, á un crédito contra el consulado de la misma ciudad de 15 2® rs., que le corresponde como cesionario de los herederos de D. Gervasio Caballero, en quien y su h</t>
  </si>
  <si>
    <t>Martínez, Francisco</t>
  </si>
  <si>
    <t>Francisco Martínez</t>
  </si>
  <si>
    <t>de los males que padecen los vasallos, á 2 rs.: tomo 2.0: i.° elogio de los gorriones, por el Lie. D. Francisco Martínez, canción excelente , á 3^ rs. : 2.0 quatro cartas de Don Francisco de Que vedo, 4 real: 3.0 Filias á Damon, canción estoyea, 4,2 rs.; y 4.0 tributo obsequioso con que sé pretende</t>
  </si>
  <si>
    <t>Martínez, Ignacio</t>
  </si>
  <si>
    <t>Ignacio Martínez</t>
  </si>
  <si>
    <t>o* mjíz: en inteligencia de que se ha de rematar el día g de noviembre próximo en la posada del Sr. D. Ignacio Martínez dc YiUela, del consejo supremo dé la Guerra, carrera de S. Gerónimo. .... AVISOS. *'í Se han extraviado 9 acciones dé la lotería del canal imperial de Aragón, que lÓs Sres.^ienne</t>
  </si>
  <si>
    <t>Martínez, Ignacio Antonio</t>
  </si>
  <si>
    <t>Ignacio Antonio Martínez</t>
  </si>
  <si>
    <t>l mismo real monte , como encargado por su junta particular para intervenir en la citada rifa, y de D. Ignacio Antonio Martínez, escribano de cámara y gobierno de la sala de alcaldes de casa y corte, y de la comisión de dicha rifa; y salieron premiados los números siguientes: Números. Premios 6 lotes. 6681</t>
  </si>
  <si>
    <t>acudan desde luego, por sí ó por sus apoderados, á la escribanía de cámara y gobierno de ía sala de D. Ignacio Antonio Martínez, 6 á la contaduría del real monte de piedad,á presentar sus billetes para comprobarlos ; y resultando su legitimidad, se les pagará su importe en metálico sin la mas leve demora,</t>
  </si>
  <si>
    <t>Martinez, Juan</t>
  </si>
  <si>
    <t>Juan Martinez</t>
  </si>
  <si>
    <t>tor; 6 el vice-director marques de Valera, con destino á los establecimientos piadoso- ; 4 el socio D. Juan Martinez.de Hermosilia, con destino a las escuelas pías; uno la señora baronesa de: Ante lia* con destino á la enseñanza de S. Pedro Mártir y S.,Nicolás; 2 die segunda clase un particular,</t>
  </si>
  <si>
    <t>Martínez, Juan</t>
  </si>
  <si>
    <t>Juan Martínez</t>
  </si>
  <si>
    <t>9403 rs. Quien quisiere hacer pos* tura acuda á la escribanía de número de D. Claudio Sanz. avisos. D. Juan Martínez, vecino de esta corte, remitió á D. Juan de Marza, residente en Avila de los Caballeros, dos vales reales de 300 pesos, de la creación de i.° de enero, núms. 91714 y 117154, endos</t>
  </si>
  <si>
    <t>Martínez, Juan Martín</t>
  </si>
  <si>
    <t>Juan Martín Martínez</t>
  </si>
  <si>
    <t>brar para una canongía de la colegial de Co▼arrubias, en la diócesi de Búrgos,vacante por muerte de D. Juan Martin Martínez , á D. Joaquín Bustamante y Almarza: para una ración de La metropolitana de Santiago, vacante por fallecimiento de D. Jacobo Latas, á D. Vicente Castro y Vahamonde: para el arcipr</t>
  </si>
  <si>
    <t>Martínez, Martín</t>
  </si>
  <si>
    <t>Martín Martínez</t>
  </si>
  <si>
    <t>&lt;? •"y Calvete, socio, de los gases en general: D. Ramón Sanz, medicinante, del ay re: D. Martin Martínez, practicante en leyes, del calórico: D. Matjo Navarro, medicinante, del reyno animal: D. Tadeo Poza, farmacéutico, de la preparación de las aguas artificiales : D. Domingo Martíne</t>
  </si>
  <si>
    <t>n: D. Josef de la Cruz sobre las trabas que ocasionan á la industria las incorporaciones gremiales: Don Martin Martínez sobre los caracteres que debe tener toda contribución: Dr. D. Felipe Aner de las alteraciones que sufren la población y riqueza de un pais, quando algunas circunstancias particula</t>
  </si>
  <si>
    <t>nferir compañía en el regimiento de infantería de Málaga al ayudante, graduado de teniente coronel, D. Martin Martínez; y tenencia en el de voluntarios de Castilla al subteniente de granaderos D. Manuel Perales. En consideración á lo mal que prueba el temperamento de las nuevas poblaciones de Sier</t>
  </si>
  <si>
    <t>Martínez, Romualdo Antonio</t>
  </si>
  <si>
    <t>Romualdo Antonio Martínez</t>
  </si>
  <si>
    <t>considerables utilidades. Los pretendientes dirigirán sus memoriales al secretario de ayuntamiento; D. Romualdo Antonio Martínez, en el término de un mes contado desde ei dia 204 del corriente. En la ciudad de Almería, reyno de Granada, se halla vacante una de las do* piaras de cirujano titular, con dotació</t>
  </si>
  <si>
    <t>Martinezde Villela, Ignacio</t>
  </si>
  <si>
    <t>Ignacio Martinezde Villela</t>
  </si>
  <si>
    <t>nte, por Ia escribanía de Tomas del Pozo Balmaseda. Por providencia de 23 de febrero último del Sr. D. Ignacio Martinezde Villela» dei Consejo de S. M. en el supremo de la Guerra, juez que en virtud de real úrden conoce de los autos de testamentaría de la Excma. Sra. Duquesa viuda que foé de Medinaceli, Marq</t>
  </si>
  <si>
    <t>MartinezSisniega, Francisco</t>
  </si>
  <si>
    <t>Francisco MartinezSisniega</t>
  </si>
  <si>
    <t>o Perron, 2058 aí de D. Josef de la Herran, *059 al de Doña Mam Josefa Vázquez y Adorna, 2060 al de D. Francisco MartinezSisniega, 2061 al.de D. Cristóbal García, 2o6z al. de D. Francisco Martínez de Cisne**</t>
  </si>
  <si>
    <t>Martini</t>
  </si>
  <si>
    <t>a carrera de S. Gerónimo, frente á la Soledad, se halla de venta el celebrado método de cantar, por Mr. Martini, traducido del francés al español, y dividido en quadernos. EL mérito del autor e« bien conocido por sus obras tan estimadas en Europa, v por el destino que tiene de maestro y com</t>
  </si>
  <si>
    <t>Mas, Francisco</t>
  </si>
  <si>
    <t>Francisco Mas</t>
  </si>
  <si>
    <t>á D. Nicasio de la Concepción Pirez, racionero mas antiguo de la misma iglesia: para esta resulta á D. Francisco Mas, capellán dei regimiento fixo de aquella plaza, y teniente de la parroquia de Sta. María de aquella ciudad: para una ración de la catedral de Jaén, vacante por muerte de D. Manuel</t>
  </si>
  <si>
    <t>Mas, Juan Bautista</t>
  </si>
  <si>
    <t>Juan Bautista Mas</t>
  </si>
  <si>
    <t>cuelas de las casas de huérfanos de S. Vicente, nuestra señora de la Misericordia, y fundaciones de D. Juan Bautista Mas, de D. Francisco Xavier Navarro y Doña María Gaudevila, baxo las mismas condiciones y examen.__ Para estimulará la buena educación en otras poblaciones de éste reyno se darán 6 pr</t>
  </si>
  <si>
    <t>Mascaró, Agustín</t>
  </si>
  <si>
    <t>Agustín Mascaró</t>
  </si>
  <si>
    <t>. se ha servido conceder tenencias en los regimientos de dragones del Rey y Sagunto á los alféreces D. Agustín Mascaró y D. Juan Calvo* Por decreto de 5 de este mes, dirigido á la cámara, se ha servido .el Rey resolver que el oidor de la audiencia de la Coruña D. Francisco Martínez de Galinsoga pase d</t>
  </si>
  <si>
    <t>Masdeu, Juan Francisco</t>
  </si>
  <si>
    <t>Juan Francisco Masdeu</t>
  </si>
  <si>
    <t>sacerdote secular barcelonés, beatificado por nuestro santísimo P. Pío vn. La escribió en italiano D. Juan Francisco Masdeu, paisano y devoto del beato, y la traduxo él mismo al castellano según la edición hecha en Roma para la beatificación. Va adornada corno estampas, que representan los principales</t>
  </si>
  <si>
    <t>Maseres, Salvador</t>
  </si>
  <si>
    <t>Salvador Maseres</t>
  </si>
  <si>
    <t>vido conferir en el regimiento de infantería de Asturias compañía al ayudante, graduado de capitán, D. Salvador Maseres; ayudantía al teniente D. Felipe Andrade; tenencia al subteniente D. Antonio Cas2iioves, y subtenencia de bandera al cadete D. Antonio Sequeyros: en los de Sevilla y América subte</t>
  </si>
  <si>
    <t>Massana, Pedro Juan</t>
  </si>
  <si>
    <t>Pedro Juan Massana</t>
  </si>
  <si>
    <t>a Esperanza, vacante en la parroquial de S. Cucufate de la ciudad de Barcelona por fallecimiento de D. Pedro Juan Massana ; y á D. Bruno March para otro beneficio de Parentela , vacante en la metropolitana de Tarragona por_muerte de D. Agustín March. En América. El Rey se ha servido nombrar para el d</t>
  </si>
  <si>
    <t>Massena, Mariscal</t>
  </si>
  <si>
    <t>Mariscal Massena</t>
  </si>
  <si>
    <t>o formidable» y se tiene por seguro en aquélla capital que eHEmperador de, los franceses enviará al Mariscal Massena y á muchos Generales tara que dirijan las operaciones militares y escarmienten para siempre á Í OS rusos. ; ¡ . .'•'-.K, S. M. la Emperatriz. yjReyna llego la;noche .del 31 del pasa</t>
  </si>
  <si>
    <t>confederado polaco estará múy pronto en disposición de entrar en campaña, y dicen que lo mandará el Mariscal Massena. Este General pasó el 25 de enero por Bareuth, donde visitó al Gobernador general Legrand, y el mismo dta se puso en camino para Berlín. Las tropas prusianas del cuerpo del Prínci</t>
  </si>
  <si>
    <t>pe de Ponte- Corvo está nombrado Generalísimo de las tropas polacas. FRUSTA. Berlín gi de enero. El Mariscal Massena debedlegar hoy á esta ciudad , desde donde se encaminará á Varsovia. Hace 3 dias que vino uno de sus edecanes. El Mariscal se alojará en la casa del Conde de Hardemberg. La academia</t>
  </si>
  <si>
    <t>Massia, Juan</t>
  </si>
  <si>
    <t>Juan Massia</t>
  </si>
  <si>
    <t>provincial de Pontevedra. El Rey ha conferido compañía en el regimiento de caballería del Infante á D. Juan Massia, cadete de la compañía Flamenca de reales guardias de Corps. La real junta superior gubernativa de cirugía, en cumplimiento de real orden que con fecha de 20 del pasado la ha comu</t>
  </si>
  <si>
    <t>Matases, Vicente</t>
  </si>
  <si>
    <t>Vicente Matases</t>
  </si>
  <si>
    <t>••• 179s .. licenc. Cabo 2.· Vicente Matases..... de Vicente.••• Murviedro.................... 1793" Muert. 539· .. 1"2</t>
  </si>
  <si>
    <t>Matilde Luisa Espinosa de Tos Monteros</t>
  </si>
  <si>
    <t>en favor de los pobres enfermos de los reales hospitales general y de la pasión, y cupo la suerte á Doña Matilde Luisa Espinosa de Tos Monteros, que vive en la calle de las Veneras, nú no. 2 , quarto principal; lo que se avisa al público para su inteligencia. En la extracción de' la real lotería, executada el lunes 2 del</t>
  </si>
  <si>
    <t>Matjo Navarro</t>
  </si>
  <si>
    <t>ral: D. Ramón Sanz, medicinante, del ay re: D. Martin Martínez, practicante en leyes, del calórico: D. Matjo Navarro, medicinante, del reyno animal: D. Tadeo Poza, farmacéutico, de la preparación de las aguas artificiales : D. Domingo Martínez, farmacéutico, de la luologia ; y D. Juan Josef Bagn</t>
  </si>
  <si>
    <t>Matos, Francisco</t>
  </si>
  <si>
    <t>Francisco Matos</t>
  </si>
  <si>
    <t>encia y subtenencia de fu ileros á. Don josef Delahauty , D. Carlos Carta , í&gt;. Aureliano Carabeo y D. Francisco Matos, primero y segundo teniente, y subtenientes del mismo batdlon. En el.regimiento de caballcria .de Farnesio se ha servido S. Ai. conceder empleo.de portaestandarte al sargento prim</t>
  </si>
  <si>
    <t>Maturana, Cayetano</t>
  </si>
  <si>
    <t>Cayetano Maturana</t>
  </si>
  <si>
    <t>o de dragones del Rey al cadete D. Ramón Conti; y en el de Sa.gunto empleo de alférez al portaguión D. Cayetano Maturana. El dia 9 de noviembre, á las 10 de la mañana, principiará D. Josef Mi</t>
  </si>
  <si>
    <t>Maturana, Vicente</t>
  </si>
  <si>
    <t>Vicente Maturana</t>
  </si>
  <si>
    <t>onsejo y Cámara de Indias , por lo tocante al departamento del Perú, que .vacó por fallecimiento de D, Vicente Maturana , á D*n Melchor de Yebes, declarando los ascensos regulares á los demas oficiales, y confiriendo la última al Archivero D. Benito Pombaresta resulta á Don Manuel Pereyra, y la pla</t>
  </si>
  <si>
    <t>Mauduit y DonFrancisco de Paula Serrano, Manuel</t>
  </si>
  <si>
    <t>Manuel Mauduit y DonFrancisco de Paula Serrano</t>
  </si>
  <si>
    <t>to de caballería de la Reyna se ha servida S. M. conceder empleos de portaestandartes á los cadetes D. Manuel Mauduit y DonFrancisco de Paula Serrano:: en. los dei Príncipe, Infante y Farnesio ehi-t píeos de alférez á los portaestandartes D. Pedro Ramos, D. Vicente Gis— bert y D. Benigno Arévalo; y en el de Alcántara ayudantía</t>
  </si>
  <si>
    <t>Mauduit, Miguel</t>
  </si>
  <si>
    <t>Miguel Mauduit</t>
  </si>
  <si>
    <t>en los regimientos de caballería de la Reyna y Príncipe á los Portaestandartes D. Joaquín Fonseca, D. Miguel Mauduit y D. Antonio Barrera: en el de Farnesio compañía al Ayudante, graduado de Capitán, D. Miguel Cherif, y Tenencia al Alférez É). Juan Rubio: en el de Alcántara compañía al Ayudante, gra</t>
  </si>
  <si>
    <t>Mauduit, Rafael</t>
  </si>
  <si>
    <t>Rafael Mauduit</t>
  </si>
  <si>
    <t>ta. También se ha servido S. M. conferir compañía en el regimiento de dragones de Pavía al ayudante D Rafael Mauduit; tenencia al alférez D. Cristóbal Frontín; empleo de alférez al portaguión D. Josef Lemos, y esta resulta á D. Antonio de Castro y Aguirre, cadete del de reales Guardias españolas</t>
  </si>
  <si>
    <t>Maurell, Francisco</t>
  </si>
  <si>
    <t>Francisco Maurell</t>
  </si>
  <si>
    <t>D. Josef González. El capitán de navio y comandante de las fuerzas sutiles del apostadero de Málaga D. Francisco Maurell ha dado cuenta al Serenísimo Señor Príncipe Generalísimo Almirante de haber salido de Málaga el 19 del mes próximo pasado escoltando un convoy de 30 velas menores, cargadas de efe</t>
  </si>
  <si>
    <t>Mauri, Juan María</t>
  </si>
  <si>
    <t>Juan María Mauri</t>
  </si>
  <si>
    <t>Salzas.r=:La agresión británica: canto épico en octava rima, con algunas ilustraciones al fin, por D. Juan María Mauri: á 4 rs. en rústica. Se venden en la librería de Castillo. GRABADO. Estampas nuevas de S. Buenaventura y Sta. Rosa de Lima, en quartilla de marca mayor, dibuxadas por D. Josef Mae</t>
  </si>
  <si>
    <t>Mauricio de Zuñigaf</t>
  </si>
  <si>
    <t>de infantería de la Havana se ha servido S. M. promover á comandante del tercer batallón ai coronel D. Mauricio de Zuñigaf sargento mayor dei propio cuerpo. * • Para que la imprenta real no perjudique de modo ninguno á las otras imprentas, y se consagre únicamente á empresas de su peculiar instituto q</t>
  </si>
  <si>
    <t>Mauricio del Valle</t>
  </si>
  <si>
    <t>palmente á D. Josef Muñoz de Pando, D. Felipe_ Carrasquedo, D. Casimiro Osorio, D. Josef de Torres, D. Mauricio del Valle, D. Severino de Salazar, Doña Josefa Zurariain,D.Francisco del Valle, D. Francisco Fernandez de Villa, D. Estéban Beulf, D. Cayetano Franques, D. Pascual &lt;Gisbert,T&gt;. Andrés de A</t>
  </si>
  <si>
    <t>Mauricio Justo del Rincón</t>
  </si>
  <si>
    <t>e fué de esta córte, para que dentro de dicho término se presenten ante dicho Señor y escribanía de D. Mauricio Justo del Rincón por sí, ó con poder bastante en favor de Procuradores del juzgado, á decir y alegar lo correspondiente á su derecho en la demanda que les ha introducido D. Ignacio González de Vil</t>
  </si>
  <si>
    <t>ino que fue de esta corte, para que se presenten dentro de él ante dicho señor por la escribanía de D. Mauricio Justo del Rincón, por sí ó con poder á favor de procuradores del juzgado, á deducir y alegar lo que á su devrecho convenga en la demanda que les fue puesta por D. Ignacio González de V illamar y D</t>
  </si>
  <si>
    <t>favila ™ £« fue de esta corte, para que dentro de él comparezcan ante dicho señor- y escriba nía de D. Mauricio Justo del Rincón, á usar de su derecho en la demanda puesta por D. Ignacio González de Villamar y Dávila, de que «1=» tiene comunicado Traslado ;8con apercibimiento que pasado sin haberlo cumplido</t>
  </si>
  <si>
    <t>el Sr. D. Felipe Gil de Taboada y Lemos, alcalde de casa y corte, por la escribanía de provincia de D. Mauricio Justo del Rincón; y no haciéndolo, y pasado dicho término, se declarará por bien hecho el remate y pago referido. El Sr. D. León de Sagasta, teniente corregidor de esta villa, ha señalado el 24 de</t>
  </si>
  <si>
    <t>Mauricio Justo’dcl Rincón</t>
  </si>
  <si>
    <t>, acuda ante el Sr. D. Felipe Gil de Taboada y Lemos, alcalde de casa y corte, por la escribanía de D. Mauricio Justo’dcl Rincón; y se previene que en el caso de no concurrir postor pasado dicho término, se adjudicará á la real caxa, baxo la obligación de reconocer á favor del establecimiento el capital que</t>
  </si>
  <si>
    <t>Mauricio Rodríguez de Berlanga</t>
  </si>
  <si>
    <t>el, teniente coronel, sargento mayor de brigada y capitán primero á D. Manuel Feliu, D. Juan Pirez, D. Mauricio Rodríguez de Berlanga y D. Francisco Ximenez de la Isla. El Rey se ha servido nombrar subteniente de artilleros á caballo del primer regimiento al subteniente de á pie del propio real cuerpo D. Víctor Duro</t>
  </si>
  <si>
    <t>Mauricio Talleyrand, Carlos</t>
  </si>
  <si>
    <t>Carlos Mauricio Talleyrand</t>
  </si>
  <si>
    <t>ra, han nombrado para este efecto por sus plenipotenciarios : S. M. el Emperador de los franceses á Mr. Carlos Mauricio Talleyrand, Príncipe de Benevento, su sumiller de corps y ministro de Relaciones exteriores, gran cruz de la legión de Honor, caballero gran cruz de las órdenes del Aguila negra y del Aguila</t>
  </si>
  <si>
    <t>Mauricio, Príncipe</t>
  </si>
  <si>
    <t>Príncipe Mauricio</t>
  </si>
  <si>
    <t>n en el palacio de SS. AA. PP., que se está reparando en la actualidad, sino en el que se llama del Príncipe Mauricio. Se aguarda de un instante á otro á S. M. de vuelta de su viage á Francia. Todo está dispuesto ya hace dias en el palacio de Bois para recibirle. FRANCIA. París. 28 de setiembre.</t>
  </si>
  <si>
    <t>Maurocordato, Nicolás</t>
  </si>
  <si>
    <t>Nicolás Maurocordato</t>
  </si>
  <si>
    <t>Estas cartas forman la parte mas importante de la compilación: siguen otras de Nicolás Maurocordato, hijo del anterior, que fué sucesivamente Hospedar de Valaquia y de Moldavia. Algunas notiejas sobre varios sabios griegos, como Jacobo Manas de Argos, Gerásimo y Dositeo, Patriarca de</t>
  </si>
  <si>
    <t>Maury, Cardenal</t>
  </si>
  <si>
    <t>Cardenal Maury</t>
  </si>
  <si>
    <t>literatura francesa del instituto celebró antes de ayer junta pública para dar posesión al Emo. Sr. Cardenal Maury de la plaza vacante por fallecimiento de Mr. Target. El discurso de S. Erna, y la respuesta de Mr. Sicard, que hacia de presidente, se llevaron toda la sesión , que habia excitado el ma</t>
  </si>
  <si>
    <t>Maximiliano Coronel</t>
  </si>
  <si>
    <t>. Pedro Josef Mesía»á Don Joaquín de Sotomayor y Unda: para el arcedianato que este dexa al chantre D. Maximiliano Coronel: para la chantría á D. Miguel de Unda y Lema, Maestrescuela: para la maestrescolía al tesoreroD. Calixto Mirandat para la tesorería af canónigo D. Tomas de Yepes: para esta canong</t>
  </si>
  <si>
    <t>Maximiliano Martinez</t>
  </si>
  <si>
    <t>rancisco Álvarez, Lb francisco Costales y D. Francisco Losada; á alféreces á los sargentos primeros D. Maximiliano Martinez , D. Teodoro Guevara , y al soldado ommguido D. Manuel Nieto; y á Portaguiones á D. Josef Ramón Barrera, D. Pablo Costales, D. Juaif de Mata Soberrón y D. Manuél Osores, los quatr</t>
  </si>
  <si>
    <t>Maximiliano, Duque</t>
  </si>
  <si>
    <t>Duque Maximiliano</t>
  </si>
  <si>
    <t>xército frunces, son ios regimientos de coraceros y el de guardias de corps; y de infantería el del Duque Maximiliano., el ae Bevelangen ,el de Saenger y el del Duque Antonio. El General Polenta mandará este cuerpo, que debe marchar á Polonia el 18 de enero. Todas las noticias del Norte aseguran</t>
  </si>
  <si>
    <t>Maximino</t>
  </si>
  <si>
    <t>romovidp.el¿ Exentó dé nuinero al supernumerario D. Bartolomé Géofget i XWpéáiumerario al Brigadier D. Maximino ;Wandetstéeñe'; á Brl4 gádier al SUbfigaSiér D; Agíistiu Diibóys ; áSubrigadieral Cadete D. Franciséó Vígtféufpá Cadete dé número al supernumerario D. Miguel Font, y á supernumera</t>
  </si>
  <si>
    <t>Maya García y Francisco Torres, Manuel</t>
  </si>
  <si>
    <t>Manuel Maya García y Francisco Torres</t>
  </si>
  <si>
    <t>eneficios patrimoniales déla parroquia de Falces, en la diócesi de Pamplona, vacantes por muerte de D. Manuel Maya García y Don Francisco Torres, á D. Tadeo Navaz y á D. Joaquín Lazcano. El Rey se ha servido conferir en el regimiento de infantería de Asturias la comandancia del tercer batallón al sargento mayor D. Antonio</t>
  </si>
  <si>
    <t>Mayo, Antonio</t>
  </si>
  <si>
    <t>Antonio Mayo</t>
  </si>
  <si>
    <t>n el real tribunal del consular do de.Cádizi por providencia del mes de abril último á instancia de D. Antonio Mayo, síndico del expresado concurso, se manda citar y emplazar á qualquiera persona que se considere con derecho contra el citado concurso, para que por sí ó po/ procurador se present</t>
  </si>
  <si>
    <t>Mayol, Martín</t>
  </si>
  <si>
    <t>Martín Mayol</t>
  </si>
  <si>
    <t>nuel Rubiano. En Patencia........ . Viuda de D. Nicolás Calonge é hijo mayor. En Palma............. D. Martin Mayol. En Pamplona....... Sres. viuda de Barbería é hijo. En Salamanca...... Sres. Urrero y Casaseca. En Santander....... Sres. Vial é hijo y compañía. En Segovia............ Sres. viud</t>
  </si>
  <si>
    <t>. 749 En-Patencia......... Viuda de D. Nicolás Calónge é hijo mayor. En Palma......:...* D. Martin Mayol. En Pamplona...:.. Sres. vrada de Barbería é hij‘o. En Salamanca..... Sres. Urrero y Casaseca. En Santander..... . Sres. Vial é hijo y compañía. En Segovia.......... . Sres. viuda</t>
  </si>
  <si>
    <t>Mayor, Vicente</t>
  </si>
  <si>
    <t>Vicente Mayor</t>
  </si>
  <si>
    <t>para una ración de la parroquial de la villa de Caedla, de la propia diócesi, vacante por muerte de D. Vicente Mayor: á D, Jo■sef Mariano Morera para un beneficio, llamado Mongía, de la parroquial de S. Andrés de Tona, diócesi de Vich, vacante por fallecimiento de Don Francisco Traserra ; y á D.</t>
  </si>
  <si>
    <t>Mazanneliique, General</t>
  </si>
  <si>
    <t>General Mazanneliique</t>
  </si>
  <si>
    <t>u obligación. El Príncipe Gerónimo determinó llamar la división Deroy y la bnaada de caballería del General Mazanneliique habían quedado en Kalisch para tomar a Breslau, fuese á viva fuerza, fuese mediante un sitio en reglas , si lo permitían las circunstancias. Estas tropas debían llegar Era meneste</t>
  </si>
  <si>
    <t>Mcxia, Luis</t>
  </si>
  <si>
    <t>Luis Mcxia</t>
  </si>
  <si>
    <t>en francés por Tóurtellc, profesor de la escuela de sanidad de Strasburgo, traducidos con notas por D. Luis Mcxia, cirujano en esta corte: 2 tomos en 8.° Se hallarán en la librería de la viuda de Cerro,portal de Manguiteros,y en las de Alonso y Castillo, frenteá las grada* de S. Felipe, á 20</t>
  </si>
  <si>
    <t>Medina, Francisco</t>
  </si>
  <si>
    <t>Francisco Medina</t>
  </si>
  <si>
    <t>, Licenc. 181 .• 6~ Francisco Medina ...• de Antonio ..• Espejo en Córdoba ..••••• 1795" Licenc. 118 ... 10. Francisco' Costales ..• de Francisco.• Vil!aviciosa en Asturias. 1796•. Inválid.</t>
  </si>
  <si>
    <t>Meerfeldt</t>
  </si>
  <si>
    <t>erg á un destierro. Pero Lo que ha causado mas admiración es la indulgencia con que ha sido tratado Mr. Meerfeldt, mas culpable, según dicen, que los otro;, por haber rendido sin disparar un cañonazo la plaza de Braunau, capaz de detener largo tiempo por aquella parte la marcha del exército f</t>
  </si>
  <si>
    <t>Mees, Antonio</t>
  </si>
  <si>
    <t>Antonio Mees</t>
  </si>
  <si>
    <t>S. M. se ha servido nombrar para una canongía de la catedral de Ceuta, vacante por fallecimiento de D. Antonio Mees, á D. Nicasio de la Concepción Pirez, racionero mas antiguo de la misma iglesia: para esta resulta á D. Francisco Mas, capellán dei regimiento fixo de aquella plaza, y teniente de</t>
  </si>
  <si>
    <t>Mehlen</t>
  </si>
  <si>
    <t>cerca de S. S. &gt; ha salido de aquí para Munich: durante su ausencia queda encargado de los negocios Mr. Mehlen, secretario de la legación. FRANCIA. París 8 de junio. Conclusión del diario del sitio de Daiítzick. 'Noche del y al 8 de mayo: ataque del Hakelsberg. Distando ya la zapa solament</t>
  </si>
  <si>
    <t>Melero, Juan</t>
  </si>
  <si>
    <t>Juan Melero</t>
  </si>
  <si>
    <t>nza, vacante por aseen o de D. Manuel Estéban de Alcalá á la dignidad de deán de la dé Tarazona , á D. Juan Melero, capellán de coro de la real capilla.</t>
  </si>
  <si>
    <t>stazgo de Alcaraz que obtiene: para una canongía de la catedral de Sigiienza, vacante por muerte de D. Juan Melero, á D. Luis Delgado Ramos, catedrático de derecho antiguo de ia universidad de Salamanca: para el beneficio préstamo deVnlalgordo del Marques ado, en la diócesi de Cuenca, vacante</t>
  </si>
  <si>
    <t>Melgarejo de Roxas, Luis</t>
  </si>
  <si>
    <t>Luis Melgarejo de Roxas</t>
  </si>
  <si>
    <t>miento que al acreedor que no concurra á ella, le párará el perjuicio que hubiere lugar. Por el Sr. D. Luis Melgarejo de Roxas, juez comisionado para el conocimiento y substanciación de los autos del concurso formado por D. Francisco Martínez Val lej o, del comercio que fue de paños en esta corte, cuidado</t>
  </si>
  <si>
    <t>Melgarejo de Rüiz Dávalos, Joaquín</t>
  </si>
  <si>
    <t>Joaquín Melgarejo de Rüiz Dávalos</t>
  </si>
  <si>
    <t>recomendables circunstancias y calidades de antigua é ilustrada nobleza % apreciables servicios de D. Joaquín Melgarejo de Rüiz Dávalos, marques de Melgarejo» mayordomo de semana del Rey nuestro Señor» y á los de todos sus ascendientes»^ sé ha servido S; M. concederle,los honores de Grande de España para sí, sus h</t>
  </si>
  <si>
    <t>Melgarejo, Francisco</t>
  </si>
  <si>
    <t>Francisco Melgarejo</t>
  </si>
  <si>
    <t>Antonio Golfín el segundo. En la de sintaxis, propiedad y prosodia, del cargo de D. Antonio Salas, D. Francisco Melgarejo el primero, D. Josef Viedma el segundo. En la de poética y retórica , del cargo de D. Demetrio Ortiz, D. Cárlos O-Reilly el primero y único premio. En la</t>
  </si>
  <si>
    <t>ero. En la de lengua francesa, del cargo de D. Dionisio Pelleport, á Don Josef Chacón al primero, á D. Francisco Melgarejo al segundo. En la del mismo idioma, del cargo de D. Josef Sabatier, á D. Agustín Alvarez al primero, á D. Narciso Caries al segundo. En la de lengua inglesa, del cargo de D. Tomas</t>
  </si>
  <si>
    <t>Melling</t>
  </si>
  <si>
    <t>ha dignado aceptar la dedicatoria del Viagepintoresco de Constantinofia y orillas del Bosforo, por Mr. Melling. El 21 del corriente, el Príncipe de Maserano, embaxador de España, ha presentado á $. M. la Emperatriz en St. Cloud al marques de la Remana, teniente general de los exércitos de</t>
  </si>
  <si>
    <t>Mellon, Agustín</t>
  </si>
  <si>
    <t>Agustín Mellon</t>
  </si>
  <si>
    <t>nencias á los alféreces D Josef Gutiérrez y D. Fernando Montero , y empleo de alférez al portaguión D. Agustín Mellon: en el de Sagunto ayudantía al teniente D. Ramón Espona; y en el de húsares españoles empleo de alférez al cadete D. Diego Remen de Moneada. El captan general de Caracas, en vario</t>
  </si>
  <si>
    <t>Melville, Lord</t>
  </si>
  <si>
    <t>Lord Melville</t>
  </si>
  <si>
    <t>el :añó de 1804 » se tne^confirip íel mando del navio Antclope^yse me encargó eí bloqueo deíBoloaa. Lord Melville, que era primer lord del almirantazgo, me escribió muchas vecéis sobre los proyectos de Miranda. En el mes de octubre de aquel año voltvi á Londres á tiempo que la guerra con Espa</t>
  </si>
  <si>
    <t>Mendal, Antonio</t>
  </si>
  <si>
    <t>Antonio Mendal</t>
  </si>
  <si>
    <t>e emplearse para curar los accidentes: obra dividida en dos tomos, y enquadernada en uno : su autor D. Antonio Mendal, académico de la real academia médica de Madrid. Se hallará en la librería de Llera, plazuela del Angel; en Granada en la de Colon, en Sevilla en la de Blancar, y en Cádiz en la d</t>
  </si>
  <si>
    <t>Mendinueta, Pedro</t>
  </si>
  <si>
    <t>Pedro Mendinueta</t>
  </si>
  <si>
    <t>ediéndoles al propio tiempo los honores del consejo de Estado,á los tenientes generales los señores D. Pedro Mendinueta, inspector general de milicias, conde de Santa Clara, capitán general de Cataluña, y D. Domingo Izquierdo, que lo es del reyno de Valencia. Igualmente se ha servido S. M. conferir</t>
  </si>
  <si>
    <t>Menendez Arguelles, Pedro</t>
  </si>
  <si>
    <t>Pedro Menendez Arguelles</t>
  </si>
  <si>
    <t>ntado y tener prendidos con todas las circunstancias que,exigió L,Sociedad 1815 avellanos; 1® rs. á D. Pedro Menendez Arguelles., vecino</t>
  </si>
  <si>
    <t>Mentelle</t>
  </si>
  <si>
    <t>LIBROS. Los subscriptores al Atlas universal de geogra ííafísica y política, antigua y moderna, por Mr. Mentelle, acudirán á recoger el complemento de dicho Atlas, y abonar su importe á la librería de Sancha, calle del Lobo. Secretos raros de artes y oficios : tomo 3.0, segunda edición. Este</t>
  </si>
  <si>
    <t>Mercedes de Parada, María</t>
  </si>
  <si>
    <t>María Mercedes de Parada</t>
  </si>
  <si>
    <t>el real y supremo de la Guerra, y teniente general de la real armada, en les que por la Excma. Sra. Doña María Mercedes de Parada , su viuda, como madre, tutora y curadora de la persona y bienes de Dona María Francisca de Taranco y Parada, habida en su primer matrimonio con el Sr. D. Pedro Prudencio de Taran</t>
  </si>
  <si>
    <t>en el real y supremo de la Guerra, y teniente general de lá real armada,en los que por laExcma.Sra. Doña María Mercedes de Parada,su viuda , como madre, tutora y curadora de la persona y bienes de Doña María Francisca de Taranco y Parada, habida en su primer matrimonio: con el Sr. D. Pedro Prudencio de Taran</t>
  </si>
  <si>
    <t>el real y supremo de la Guerra, y teniente general de la real armada, en los que por la Excma. Sra. Doña María Mercedes de Parada, su viuda, como madre, tutora y curadora de la persona y bienes.</t>
  </si>
  <si>
    <t>i real y supremo de la Guerra, y teniente general de la real armada, en los que por la Exorna. Sra. Doña María Mercedes de Parada, su viuda, como madre, tutora y curadora de la persona y bienes de Doña María Francisca de Taranco y Parada, habida en su primer matrimonio con el Sr. D. Pedro Prudencio de Taranc</t>
  </si>
  <si>
    <t>Merino, Nicolás</t>
  </si>
  <si>
    <t>Nicolás Merino</t>
  </si>
  <si>
    <t>ura de aquella diócesi: para la segunda á D. Josef Antonio Tuñon y Llamas: para la ración de este á Don Nicolás Merino; y para esta vacante á D. Alexo de la Cueva, cura de aquel obispado: para la tercera á D. Juan Delgado; y para la ración que este dexa á D. Josef Vicente Beltran, conde de Sta. Ro</t>
  </si>
  <si>
    <t>Merino, Tomás</t>
  </si>
  <si>
    <t>Tomás Merino</t>
  </si>
  <si>
    <t>lanes, el segundo D. Cárlos Cruz Mayor: en la dé escritura el primero D. Pedro Mantilla, el segundo D. Tomas Merino. En la clase de rudimentos de gramática castellana y latina, del cargo de D. Vicente Cosgaya, D. Josef Chacón el primero, D. Antonio Golfín el segundo. En la de sintaxis, propieda</t>
  </si>
  <si>
    <t>Merlano, Luis Antonio</t>
  </si>
  <si>
    <t>Luis Antonio Merlano</t>
  </si>
  <si>
    <t>de granaderos, D. Henrique O-Neille , D. Juan de Bustos, D. Josef Víctor Salcedo, D. Josef del Rox, D. Luis Antonio Merlano y D. Manuel de Medina.; á subtenientes de granaderos á los de fusileros D. Josef Angel Velazquez y D. Josef María Merlano; á subtenientes de fusilerosal cadete D. Francisco Grávete, y</t>
  </si>
  <si>
    <t>Merry</t>
  </si>
  <si>
    <t>con el almirante sueco Cederstroem, después de la qual se despacho a Kiel un correo. Se asegura que Mr. Merry ha traído proposiciones de paz, y que estas se han enviado al quartel general del Príncipe heredero en Rendsborg. Se ignora quales sean estas proposiciones; mas parece cierto que</t>
  </si>
  <si>
    <t>audiencia al enviado de Rusia Mr. Alopeus, que ha venido aqui de Estokolmo. Acaba también de llegar Mr. Merry, enviado de Inglaterra, de Kiel, adonde había pasado con una comisión para el Príncipe Real de Dinamarca , el qual no ha querido darle oidos. Mr. NicholaSj vice-cónsul de Inglater</t>
  </si>
  <si>
    <t>Mesía, Diego</t>
  </si>
  <si>
    <t>Diego Mesía</t>
  </si>
  <si>
    <t>é física experimental, del cargo del substituto D. Antonio Peña, se juzgó digno del primer premio á D. Diego Mesía. En la de astronomía y geografía, del cargo de D. Isidoro Antiiion , han sido considerados dignos del primer premio D. Manuel Blanco, D. Diego Mesía, D. Josef Chacón y Don Josef S</t>
  </si>
  <si>
    <t>Mesino, Alberto</t>
  </si>
  <si>
    <t>Alberto Mesino</t>
  </si>
  <si>
    <t>stica en la librería de Castillo, frente á I2S gradas de'San Felipe el Real. El autor de esta obra, D. Alberto Mesino, cónsul de España en Venecia, ha cedido el producto de su venta para beneficio de los presos de las cárceles de esta corte. ~Con igual piadoso destino se venden en la misma librer</t>
  </si>
  <si>
    <t>Metzger, Tomás</t>
  </si>
  <si>
    <t>Tomás Metzger</t>
  </si>
  <si>
    <t>eniente de granaderos al de fusileros D. Agustín Stoffei, y á teniente al subteniente de granaderos D. Tomas Metzger: en el de Preux á subteniente de granaderos al de fusileros D. Francisco Roh,y á subteniente de bandera afe ‘argento primero D. Pedro Hehn. El Rey se ha servido conferir el empleo</t>
  </si>
  <si>
    <t>Meyer</t>
  </si>
  <si>
    <t>1076 atados. Los individuos de dicha ¡unta son todos hannoverianos. El baylío Mr. Meyer queda encargado de la superintendencia y dirección de ias provisiones de exército, y quando tenga que asistir á la referida junta, no tendrá mas que voto consultivo. Se enviará ta</t>
  </si>
  <si>
    <t>Meyer, Vicente</t>
  </si>
  <si>
    <t>Vicente Meyer</t>
  </si>
  <si>
    <t>segundo á D. Luis Gogd, ayudante graduado de teniente coronel; á ayudante al teniente de granaderos D. Vicente Meyer; á teniente de granaderos al de fusileros D. Alberto Fee; á teniente de fusileros al subteniente de granaderos D. Domingo Oniiin; á subteniente de granaderos al de fusileros D. Ju</t>
  </si>
  <si>
    <t>Mi Ines</t>
  </si>
  <si>
    <t>sterio; que propuso se creara una junta encargada de exáminar la situación actual de la nación; que Mr. Mi Ines contestó á Mr. VVhitbread, contra el qual y contra otros vocales, que apoyaron su pensamiento, hablaron el canciller del echiquier, Mr. Canning y Mr. Wilt&gt;erforce; y finalmente, q</t>
  </si>
  <si>
    <t>Mi, General</t>
  </si>
  <si>
    <t>General Mi</t>
  </si>
  <si>
    <t>terra parece que no tiene instrucción alguna para un casó tan inopinado. La proclama insultante del General Mi che Ison Jia producido en toda el imperio este movimiento general. Dicen los turcos: ,, Antes pereceremos con el alfange en las manos, y á vista del estandarte del Profeta, que su</t>
  </si>
  <si>
    <t>Micaela Pini</t>
  </si>
  <si>
    <t>reyno, se hallan intervenidas y exlisten reservadas doce cartas con cubiertas á Don Miguel Ramírez, Doña Micaela Pini, D. Juan Antonio Gutiérrez, Doña Francisca del Castillo, Manuela Martínez, Doña Rosa de Udías y del Castro, D. Juan María Noriega, Doña María Catania Vallarina de Arenzano, D. Man</t>
  </si>
  <si>
    <t>Michelena, Juan Ángel</t>
  </si>
  <si>
    <t>Juan Ángel Michelena</t>
  </si>
  <si>
    <t>1221 de enemigos, y hubo de quedar prisionero, con el capitán de fragata Don Juan Angel Michelena, los tenientes de navio D. Gandido Lasala, D. Josef Posadas y D. Jacinto Romárate; los de fragata D. Manuel Iglesias, D. Benito Correa, D. Domingo Allende y D. Josef Miranda; los</t>
  </si>
  <si>
    <t>MÍchelson, General</t>
  </si>
  <si>
    <t>General MÍchelson</t>
  </si>
  <si>
    <t>.7 ® ALEMANIA. JLemberg 5 de Diciembre. Ya no se duda que la mayor parte del exército con que el General MÍchelson había entrado en Valaquia retrocede para reforzar al General Beuuingsen. La vanguardia de la primera coluna está ya atravesando la Volhynia , y la segunda ha hecho alto en Luch, a</t>
  </si>
  <si>
    <t>Michelson, General</t>
  </si>
  <si>
    <t>General Michelson</t>
  </si>
  <si>
    <t>86 Pen tina del General Michelson la hizo volver sobre Jassy. Se atribuye esta retirada a los acontecimientos de Polonia. PRUSIA. Berlín 2 y de Diciembre. El General Oudinot salió el 23 de esta ciudad para el quartel</t>
  </si>
  <si>
    <t>Míchelson, General</t>
  </si>
  <si>
    <t>General Míchelson</t>
  </si>
  <si>
    <t>vigorosamente la Polonia Rusa. Afirman que el mando del exército debGc' neral Benningsen pasará al .General Míchelson, nombrado Generalísimo de, las fuerzas Rusas destinadas á pelear contra los Franceses. Se añade que ;d Emperador Alexandro ha desechado el proyecto de dar la dirección de todas su</t>
  </si>
  <si>
    <t>on fecha de 12 de Diciembre,lo que sigue;,, Harce 8 dias que entró en Moldavia el exército Ruso del General Michelson, compuesto de 80S) hombres, y se ha apoderado ya de Choczitn, Bender, Yassi y Akerman. La orden que tiene es de tomar posesión de todo el país, hasta ia orilla del Danubio, ocupar</t>
  </si>
  <si>
    <t>ernador de la Prusia. * El e^rcito ruso no ha evacuado el territorio turco, como se habia dicho. El General Michelson se interna en la Valaquia, y marcha sobre Sachares t, después de haber ocupado la Moldavia. Se dice también que los rusos son dueños de la Besaravia. V Escriben de .Galitzia qué u</t>
  </si>
  <si>
    <t>re damos en los lazos preparados por el enemigo t en ^verdad que todo esto va^ muy mal dirigido. El General Michelson permanece todavía en Moldavia, y no tenernos noticias de que haya marinado contra él exército turco, que'os dueño de Bucharest y de la V alaquia. En esta guerra no han hecho mas q</t>
  </si>
  <si>
    <t>. Buda 2 de enero de i8oy. Hemos recibido algunas noticias de los movimientos del exército ruso del General Michelson. Se asegura que la vanguardia se halla en Fóksani, en las fronteras de Moldavia, y sus cosacos-habían pasado el rio de Buckzow, quando supo que Baswau-Oglow se encaminaba á marcha</t>
  </si>
  <si>
    <t>s tropas dé las provincias otomanas. Ha significado al mismo tiempoai Conde de Italinsky, que si el General Michelson no evacúa inmediatamente á Moldavia y los distritos que han ocupado sus tropas en Valaquía y en Besarabia, debe tenerse por declarada la "guerra entre las dos potencias. Muchos cu</t>
  </si>
  <si>
    <t>ue era atacada, "ni ha tenido noticia, de la invasión de sus provincias, sino por el manifiesto del General Michelson, que tengo la honra de presentar adjunto á V. M. ; y, lo mas extraño es, que en el momento en que la Puerta recibía este manifiesto, el Enviado de Rusia, con sus protestas de no h</t>
  </si>
  <si>
    <t>proyectos contra el Imperio Otomano. Desde entonces no guardó ya miramiento ninguno; envió orden al General Michelson para que entrase en Moldavia, y se regocijó con la idea de devorar una presa ansiada tantos años hace, y que hasta entonces le hablan hecho mirar con respeto la unión de la Franci</t>
  </si>
  <si>
    <t>Michelson, Mariscal</t>
  </si>
  <si>
    <t>Mariscal Michelson</t>
  </si>
  <si>
    <t>pidiéndole que enviase p3rte de sus tropas á socorrer al Mariscal Kamenskoy. Con tales novedades el Mariscal Michelson replegó su vanguardia sobre Birlat, y so cuerpo de exército sobre Jassy. PRUSIA. Dantzig $ de enero. En el dia no se habla una palabra de las colunas francesas que se decía estaba</t>
  </si>
  <si>
    <t>Micjhelson, General</t>
  </si>
  <si>
    <t>General Micjhelson</t>
  </si>
  <si>
    <t>al Kamenskoy, viejo de 75 años, que tiene á sus órdenes á los Generales Beningsen y Búxhowden. . El General Micjhelson1 entró de positivo en Moldavia. Algunos aseguran que se apoderó'de Yassi el 29 de Noviembre, y aun- añaden que una de sus Generales ha tomado á Bender por asalto, metiéndolo todo</t>
  </si>
  <si>
    <t>Mier y Teran, Juan</t>
  </si>
  <si>
    <t>Juan Mier y Teran</t>
  </si>
  <si>
    <t>al Teniente D. Antonio Gayarre; á Tenientes de granaderos i Jos de fusileros D. Fran.isco Guerrero, D. Juan Mier y Teran y D. Luis_ Ferriet; á Tenienres al Subteniente de fulleros D. Vicente Borges, y los de granaderos D. Francisco Perez..y Muro, D. Matías Cervera y D. Francisco Morejon ;a Subtenientes</t>
  </si>
  <si>
    <t>Migdel</t>
  </si>
  <si>
    <t>i, j ,!ó ¿ .;btvi j* -. í ’( oía ;. . &gt; Madrid* ^dd&amp;’Cahril.' l¿fU&gt; ;:&gt;b .-se Ea- servido nombra* á D. Migdel&gt;G&lt;5rtés^pafa lineanongí^ cura* «dal^erdaicatedr.áltdéoSegórve pcwaeá^te-.pc-r-prÓTriocioítr d.$ D.'GúTlos’Martin »y Eandíá la* canon gía lectcraltde’la'misma iglesia: iá p* &lt;Jesef</t>
  </si>
  <si>
    <t>Mignel Santa Cruz López</t>
  </si>
  <si>
    <t>villa c iglesia de S. Lorenzo de la Parrilla&gt; en la misma diócesi de Cuenca, vacante por muerte de D. Mignel Santa Cruz López., á D. Domingo González Alonso, con retención del préstamo de Ganaraé de Sayago, en la diócesi de Zamora, que disfruta en virtud de real decreto de 15 de abril de 1804, prestamera</t>
  </si>
  <si>
    <t>MigueDPaicual de Bonanza</t>
  </si>
  <si>
    <t>cio de sus fondos particulares; debiéndose muy particularmente al cuidado y zelo de su actual prior D. MigueDPaicual de Bonanza^ asistido de los demas comisionados, el lucimiento de las fiestas, durante las quaies ba rey nado en el público el orden y la tranquilidad apar del mayor regocijo. -* • i- j : Mad</t>
  </si>
  <si>
    <t>Miguel Gonzalo</t>
  </si>
  <si>
    <t>á la audiencia del Sr. Dv León de Sagasta, teniente corregidor de esta viila, por la escribanía de D. Miguel Gonzalo. ■ ' ; AVISOS. Qúíén quisiere hacer postura á los frutos y rentas de la encomienda de Viilaexcusa de Haro, orden de Santiago, que se arriendan por tres años contados desde a«8 de</t>
  </si>
  <si>
    <t>a audiencia del Sr. D. Torquato Antonio Collado, teniente corregidor de esta villa, y escribanía de D. Miguel Gonzalo, se están subastando las fincas siguientes: una casa sita en e ta corte en la calle de la Cruz de la Zarza, núm. 19, manz. 472, tasada en 65,181 rs.: otra en la calle de Leganitos</t>
  </si>
  <si>
    <t>ntorio se concede, contados desde el de la fecha, comparezcan ante su señoría, por la escribanía de D. Miguel Gonzalo, á acreditarlo y exponer lo conveniente á su derecho, y de no executarlo les parará el perjuicio que haya lugar. Se halla vacante la plaza de médico titular de la ciudad de Santan</t>
  </si>
  <si>
    <t>sde el 7 del corriente t ante el señor teniente corregidor D. León de Sagasta, por la escribanía de D. Miguel Gonzalo. Por providencia del Sr. IX León de Sagasta, teniente corregidor de esta villa, se ha mandado sacar á pública subasta, por término de 15 dias contados desde el 23 del presente, un</t>
  </si>
  <si>
    <t>0 dias contados desde la publicación de este anuncio, acudan ante dicho señor, por la escribanía de D. Miguel Gonzalo, á acreditar su pertenencia; previniéndose que. pasado dicho término sin haberlo executado, les parará el perjuicio que haya lugar. A voluntad.de su dueño se vende.una casa.sita e</t>
  </si>
  <si>
    <t>da ante el Sr. D. Torquato Antonio Collado¿ teniente corregidor de esta villa, por la escribanía de D, Miguel Gonzalo. AVISOS, Por el juzgado del Sr. D. Francisco López Lisperguer, alcalde de casa y corte, y escribanía de D. Manuel López de Ribas, se cita, llama y emplaza á los parientes mas cerc</t>
  </si>
  <si>
    <t>audiencia del Sr. D. León de Sagasta, teniente corregidor de esta villa, y escribanía del número de D. Miguel Gonzalo, se está subastando una casa sita en la calle de Sta. Isabel, núm. 12, manz. 5, tasada en 90,514 rs.; é igualmente se ha hecho de Jas obras y caudal de agua que la corresponde en</t>
  </si>
  <si>
    <t>ante el Sr. D. León de Sagasta, teniente corregidor de esta villa, por la escribanía del número de D. Miguel Gonzalo. Por la audiencia del Sr. D. Torquato Antonio Collado, teniente corregidor dé esta villa, y escribanía del número de D. Miguel Gonzalo, se ha mandado sacar nuevamente á pública su</t>
  </si>
  <si>
    <t>6, manz. 50, tasada en 47,523 rs. Quien quisiere hacer postura, acuda á la escribanía del número de D. Miguel Gonzalo, dentro del término de 30 dias contados desde el 26 de octubre próximo pasado. Se vende una casa sita en esta corte, calle de S. Blas, núm. 2, manz. 256, tasada en 40,856 rs. á pa</t>
  </si>
  <si>
    <t>ovidencia dei Sr. D. León de Sagasta, teniente corregidor de esta villa, y escribanía del número de D. Miguel Gonzalo, se cita, llama y emplaza á D. Ignacio Ladrón de Pallas, como heredero de Doña María Josefa de Herrera y Retes, ¿ sus hijos, herederos y sucesores, á ?os de Brígida Aivarez, admin</t>
  </si>
  <si>
    <t>ante el Sr. D. León de Sagasta, teniente corregidor dé esta villa, por la escribanía del número de Don Miguel Gonzalo. El señor intendente de esta provincia, por su decreto dé 23 de noviembre próximo pasado, ha aprobado el remate de una casa/sita en la calle de Leganitos, que hace fachada á la pl</t>
  </si>
  <si>
    <t>Miguel’ Rós</t>
  </si>
  <si>
    <t>i’ á7 D. Jayméf Bonay y Corrioi parfi un beneficio de la catedral de Gerona, vacante pór muer té'de D. Miguel’ Rós *. U D. Josef Vilar para otro beneficio1 dé la parrbquulde S. Pedro Pescador del obispado de Gerona? bacante por protfiócion de Di Josef Pasapera á otro de Blanes: á D. Martin Bat</t>
  </si>
  <si>
    <t>Miilier, Juan</t>
  </si>
  <si>
    <t>Juan Miilier</t>
  </si>
  <si>
    <t>do en la posada del ministro de lo Interior la junta de que se dio noticia en el número precedente. Mr. Juan Miilier, ministro secretario de Estado del reyno de Vestfalia, tuvo ayer el honor de presentarse á S. M. la Emperatriz. La noche del 7 al 8 de noviembre zozobró una barca en unas rocas de</t>
  </si>
  <si>
    <t>Miiller</t>
  </si>
  <si>
    <t>ardemberg. La academia real de las ciencias de Berlín celebró estos dias pasados una junta pública. Mr. Miiller, Consejero privado ^y miembro de la academia, leyó un discurso en francés, compuesto por él mismo, cuyo asun- ~ to es: la gloria de Federico el Grande. ALEMANIA. Würtzburgo 27 de</t>
  </si>
  <si>
    <t>ropone visitar las alturas de los Alpes y los cantones pequeños. Se dice que el célebre historiador Mr. Miiller, de Schaffouse, entrará á servir al Rey de Baviera. La confederación helvética espera dentro de poco tiempo un enviado de S. A. R. el gran duque de Badén. FRANCIA. Parts jtj de ju</t>
  </si>
  <si>
    <t>Milag, Juan Antonio</t>
  </si>
  <si>
    <t>Juan Antonio Milag</t>
  </si>
  <si>
    <t>a huerta en grande, con las divisiones, quadrados, direcciones de riego y declivios que debe tener: D. Juan Antonio Milag;o sobre los granos frumenticios, y particularmente del trigo, exponiendo sus especies y variedades mas conocidas en Aragón, preferencia del cultivo de unas respecto de otras en la</t>
  </si>
  <si>
    <t>Milhaüd, General</t>
  </si>
  <si>
    <t>General Milhaüd</t>
  </si>
  <si>
    <t>de Noviembre habían femado el puente del'Vístula, temiendo que una coluna Franceta ihandada por el General Milhaüd, qué se avanzaba sobre Varsovia, proyéctase pasar aquel rio. Á sil retirada coroetiéron los estragos mas horribles. Robaron en particular á los Judíos, á quienes mirar» como amigo</t>
  </si>
  <si>
    <t>Millan Moreno</t>
  </si>
  <si>
    <t>granaderos al de fusileros D. Francisco del Castillo; á tenientes á los subtenientes de granaderos D. Millan Moreno y D. Marcos Quíntela; á subtenientes de granaderos á los de fusileros Don Mariano Romay y D. Josef de la Torre; y á subtenientes de bandera al cadete D. Joaquín Barreyro,y al sargento</t>
  </si>
  <si>
    <t>Millan, Pedro</t>
  </si>
  <si>
    <t>Pedro Millan</t>
  </si>
  <si>
    <t>llecimiento de D. Fernando Cortes, á D. Josef Rafael Lavarrieta; y para la media- ración que dexa á D. Pedro Millan, cura del pueblo de Canatlan, en aquel obispado. S. M. se ha servido nombrar para el empleo de teniente de rey de la plaza de S. Juan de Puerto-Rico, y cabo subalterno del capitán</t>
  </si>
  <si>
    <t>Mingo, Juan Antonio</t>
  </si>
  <si>
    <t>Juan Antonio Mingo</t>
  </si>
  <si>
    <t>ciones del real empréstito de 160 y 240 millones de reales, en los quales se ha 'mandado emplazar á D. Juan Antonio Mingo y D. José f Fernandez por medio de 'este periódico, y término dé 30 días contados desde el 25 de setiembre último, 'medíante ignorarse su paradero,; para que dentro de él comparezcan</t>
  </si>
  <si>
    <t>Ministro Austríaco</t>
  </si>
  <si>
    <t>erno inuy húmedo y poco sano. r Se espera en esta residencia al Barón de Felz , Ministro Austríaco, que hace dos años estaba ausente', y volverá á éxercer sus funciones cerca de nuestro Soberano. (Gazetá déMFrUncÍa de i£de Diciembre •) •"i - ;; * r* ?—y • *</t>
  </si>
  <si>
    <t>ministro Estado</t>
  </si>
  <si>
    <t>obre todos sus negoch y esta confianza ha disgustado mucho al barón de Budberg, ministro Estado ruso. Se cree generalmente que el Rey de Prusia se pondrá á la cabeza de exército. El gran duque Constantino tiene á sus órdenes una parte &lt; exército ruso; y l</t>
  </si>
  <si>
    <t>Ministro Fox</t>
  </si>
  <si>
    <t>tación en Europa; el Duque de Brunswick, el Duque Augusto de Saxonia-GotHa, los Ministros Ingleses Pit y Fox , los Almirantes G aviad y Vüleneuve, los Médicos Barthez y Fouquet, el Profesor Pallas, Mrs. Coulomb, Brisson y Adansonj Fysicos ó Natura-iis-tas, el Senador</t>
  </si>
  <si>
    <t>ministro Hardenberg</t>
  </si>
  <si>
    <t>la)r. El coronel Krusemarck acompañó á S. M. I. á las visitas, excepto á la del ministro Hardenberg, adonde fue solo, después de haber dexado en su casa al coronel Krusemarck. Por la noche estuvo escribiendo ha^ta las tres; expidió dos correos, y á las quatro</t>
  </si>
  <si>
    <t>ministro Ingles</t>
  </si>
  <si>
    <t>- Nuestra corta ha intimado al ministro Ingles que vería cc-n disg una esquadra inglesa en el mar Báltico. Se ha prohibido á todo dinamarqués introducir en StraHuad numici¡ de guerra y cargamentos de granos</t>
  </si>
  <si>
    <t>Ministro Ingleses Pit</t>
  </si>
  <si>
    <t>ministro Mr</t>
  </si>
  <si>
    <t>un congreso en esta ciudad, en el que á nombre de nuestro Soberano asistirá su ministro Mr. de Koth. Todos los 'Príncipes y miembros de los círculos alemanes del alto y baxo Rin están citados para este congreso, cuyo asunto es tratar acerca del cumpl</t>
  </si>
  <si>
    <t>erencia qué duró dos horas en la secretaría de negocios extrangeros con nuestro ministro Mr. Canning. De Falmouth han salido varios convoyes mercantes para Portugal, el mediterráneo y las Indias occidentales. Constan entre todos de 250 embarcaciones.</t>
  </si>
  <si>
    <t>Ministro Prusiano Barca de Hardenberg</t>
  </si>
  <si>
    <t>er presentados al Emperador en Posen. -v. Las cartas ¡.de Elseneur dicen ^u§ el Ministro Prusiano Barca de Hardenberg se hallaba en Riga. El Marqués de Dquglas, Embáxador de Inglaterra en Rusia, llegó el 15 de Diciembre -á Malmoe. . El Principé Ipsilanti, antiguo Hospodar de V</t>
  </si>
  <si>
    <t>ministro Van-HooíF</t>
  </si>
  <si>
    <t>do por su valor en los diferentes ataques que se han dado contra los suecos. El ministro Van-HooíF, cuya salud está bastante quebrantada, ha pedido su retiro, y S. M. ha venido en concedérsele, pero con condición de que evacuada una comisión temporal que S.</t>
  </si>
  <si>
    <t>Minóves, Domingo</t>
  </si>
  <si>
    <t>Domingo Minóves</t>
  </si>
  <si>
    <t>e Huerta de arriba, en la diócesi de Burgos » vacante por fallecimiento de D. Anastasio de Sotó*, á D. Domingo Minóves. S. M. se ha servido conferir en el regimiento dé infantería dé Tole docompañía ai teniente graduado de capitán D. Josef Paz y Montañez: en el de América tenencias á los subtenien</t>
  </si>
  <si>
    <t>Minto, Lord</t>
  </si>
  <si>
    <t>Lord Minto</t>
  </si>
  <si>
    <t>ante en gefe de r.ueí tras, tropas en las Indias orienrales, nombrado para suceder al Lord Lake. El Lord Minto ha prestado ya juramento como Gobernador de los mismos países. En la junta del 29 dé Diciembre la Cámara de los Comunes ha concedido por este año los subsidios necesarios para pag</t>
  </si>
  <si>
    <t>Minucci, General</t>
  </si>
  <si>
    <t>General Minucci</t>
  </si>
  <si>
    <t>vocado el camino por la noche,, la artillería, que .había quedado atras, y la infantería bávara del General Minucci. El ala derecha -.de nuestro cuerpo se apoyaba en la aldea, de Seegen , ry da: izquierda en la de Koscheln. El enemigo apo¿tó fu izquierda en las alturas que dominan el camino de</t>
  </si>
  <si>
    <t>Minuel González Moro</t>
  </si>
  <si>
    <t>r postura á qualquiera de estas fincas lo executará por la escribanía de la comisión, que desempeña Don Minuel González Moro. - - ............- - . -— Por providencia de ,D.. Francisco Gerónimo Bacna ^ comisionado regio para la</t>
  </si>
  <si>
    <t>Mir Martínez, Antonio</t>
  </si>
  <si>
    <t>Antonio Mir Martínez</t>
  </si>
  <si>
    <t>ado tenencia al subteniente de granaderos D. Luis Manutl Zamora, y subtenencia de bandera al cadete D. Antonio Mir Martínez. F.l rey se ha servida conferir compañía en el regimiento de infantería de Mallorca al ayudante graduado de capitán D. Diego Hernández Gardon, y subtenencia de bandera en el de Ar</t>
  </si>
  <si>
    <t>Mir, Miguel</t>
  </si>
  <si>
    <t>Miguel Mir</t>
  </si>
  <si>
    <t>ui sobre si es ventajosa á los consumidores una libertad absoluta en el comercio interno de granos: D. Miguel Mir sobre las pérdidas que sufre todo país por los valores que se destinan á consumos improductivos no necesarios: D. Eugenio Salvador sobre la elevación que causan las vinculaciones</t>
  </si>
  <si>
    <t>Miranda, Bernardo Alonso</t>
  </si>
  <si>
    <t>Bernardo Alonso Miranda</t>
  </si>
  <si>
    <t>oquia de S. Cipriano de Pillarno, en el obispado de Oviedo, vacante por muerte de D. Mateo Lobon, á D. Bernardo Alonso Miranda, capellán de la real armada, con la obligación de residirlo precisamente por sí, y de cumplir las cargas que le están impuestas; y para una capellanía del numero de la catedral de</t>
  </si>
  <si>
    <t>Miranda, Domingo Antonio</t>
  </si>
  <si>
    <t>Domingo Antonio Miranda</t>
  </si>
  <si>
    <t>Esta rifa se ha de celebrar en una de las salas del ayuntamiento de esta villa á presencia del Sr, D. Domingo Antonio Miranda, caballero del orden de Santiago, del consejo real de las Ordenes, juez comisionado, y ante Don IgnacioJVntonÍQ Martínez , escribano de cámara del Rey nuestro señor mas antiguo y</t>
  </si>
  <si>
    <t>Miranda, Francisco</t>
  </si>
  <si>
    <t>Francisco Miranda</t>
  </si>
  <si>
    <t>as que representan los trages del dia, cada una con su pregunta ó respuesta; dibuxado y grabado por D. Francisco Miranda. Se hallará en las librerías de Escribano y Hurtado, calle de las Carretas, y de Orea, frente á S. Lilis. Carta esférica del rió de la Plata, con la sonda y las principales distas</t>
  </si>
  <si>
    <t>Miró, Francisco Alberto</t>
  </si>
  <si>
    <t>Francisco Alberto Miró</t>
  </si>
  <si>
    <t>siásticos de ios exercicios espirituales el Dr. Fr. D. Tomas Benito Nadal, del orden de San Juan, y D. Francisco Alberto Miró: celadores sécula** reí ídem el Sr. Fr. D. Alberto Adell, del orden de San Juan, y D. Vicente Marques; y celadores de las obras de los presos D. Juan Cros, D. Manuel Muñoz, D. Fra</t>
  </si>
  <si>
    <t>Modesto Gutiérrez</t>
  </si>
  <si>
    <t>rcoles y viernes de cada semana. En ios dias intermedios á estos dará las lecciones de meteorología D. Modesto Gutiérrez, principiando desde el mártes io del mismo mes. VENTAS JUDICIALES. Por auto proveído por el limo. Sr. D. Antonio de Vilíanueva, del consejo y cámara de S. M. en el real y supremo</t>
  </si>
  <si>
    <t>Moitier, Mariscal</t>
  </si>
  <si>
    <t>Mariscal Moitier</t>
  </si>
  <si>
    <t>asegurándose que rella ofrecido al Rey de Suecia la neutralidad de la Pomerattia anterior, y que el Mariscal Moitier espera la última resolución dei Rey: pronto saldremos de dudas ; pues las tropas de 4Una ú otra parte es preciso que hagan algún movimiento. . El número de tropas austríacas que hay</t>
  </si>
  <si>
    <t>Molina, Francisco</t>
  </si>
  <si>
    <t>Francisco Molina</t>
  </si>
  <si>
    <t>ancisco Bailuerca, sargento del propio cuerpo ; á D. Antonio Rodríguez, ídem; i D. Tomas Rubio, y á D. Francisco Molina, deí cuerpo de blandengues de Buenos-Ayres: grado y sueldo de subteniente de infantería i, Doña Manuela la Tucumanesa* También ha concedido S. M. cruces de la real orden española</t>
  </si>
  <si>
    <t>Molleras</t>
  </si>
  <si>
    <t>2o% S. M. lia dirigido un decreto á Mr. Molleras , Ministro de lo interior, mandándole que se encargue de recibir los dones patrióticos que produz** can las subscripciones que se abren en todas las provincias para socorrer k la</t>
  </si>
  <si>
    <t>Mondiere, Julián</t>
  </si>
  <si>
    <t>Julián Mondiere</t>
  </si>
  <si>
    <t>de D. Antonio López de Saiazar. avisos. Por el correó del dia 13 de marzo dc.l presente año remitió D. Julián Mondiere, del comercio de Cádiz,, cinco vales reales de ¿ 600 pesos, creación de i.° de Mayo, núms- 3831 2 2 , 393736, 396:01,397618 ,‘398446, y uno de 150 pesos, de la de i.° de setiembre</t>
  </si>
  <si>
    <t>Monoyo, Juan Antonio</t>
  </si>
  <si>
    <t>Juan Antonio Monoyo</t>
  </si>
  <si>
    <t>a Parroquia de San Pedro de la villa de Moya, en la Diócesi de Cuenca, vacante por fallecimiento de D. Juan Antonio Monoyo, y para el Préstamo de Burbanos en el propio Obispado, vacante por dimisión de D. Josef Duro y Solano, electo Arcediano titular y Canónigo de la Catedral de Calahorra, á D. Doming</t>
  </si>
  <si>
    <t>Monroe</t>
  </si>
  <si>
    <t>á Falmouth ha tocado en Brest, donde dexó pliegos para el ministro americano en París. Se cree que Mr. Monroe pasará inmediatamente al gobierno un oficio relativo al combate de lá fragata Chssapeack ; y como en las circunstancías actuales tenemos el mayor interes en no indisponernos con l</t>
  </si>
  <si>
    <t>os mas que 4 días de término para deliberar y responder á los oficios traídos por la Revende, y que Mr. Monroe ha recibido orden terminante de insistir en que renunciemos al derecho de registro en los baxeles americanos; y que está resuelto á no sufrir que en adelante se saque por fuerza n</t>
  </si>
  <si>
    <t>efecto, han salido al mismo tiempo que los mencionados prácticos. Ya se ha verificado la partida de Mr. Monroe, ministro de los Estadosunidos de América, dando motivos de curiosidad á nuestros políticos, y abriendo ancho campo á sus conjeturas. Unos dicen que la negociación,se ha terminado</t>
  </si>
  <si>
    <t>ento, que estaba señalada para el 24 de setiembre. No obstante lo que han publicado varios diarios, Mr. Monroe, ministro de los Estados-Unidos, no ha salido todavía de Londres. En Portsmouth le aguarda la embarcación americana Revanche, donde se embarcará para llevar á los Estados-Unidos l</t>
  </si>
  <si>
    <t>s-Unidos. El principal objeto de la discusión era la respuesta que debia darse á la nota pasada por Mr. Monroe: el resto de la junta se pasó, según dicen, en determinar las providencias que conviene tomar de resultas del decreto del Rey de Holanda, que nos corta absolutamente toda comunica</t>
  </si>
  <si>
    <t>2 cañones, que después de haber tocado en Brest había ido á Inglaterra con pliegos de su gobierno á Mr. Monroe, entró en aquel puerto el 17 del corriente. La víspera había salido de Ponsmouth con pliegos, según se dice, para el ministro de los Estados-Unidos en París. El capitán de la gole</t>
  </si>
  <si>
    <t>de paz de TUsir. Mr. Jorge Rose acaba de salir con una comisión particular para los Estados-Unidos. Mr. Monroe se ha embarcado hoy mismo, para su país en la corbeta Augusta. Estos días había corrido la voz de que se habia embarcado para Francia. Los últimos papeles de América refieren que</t>
  </si>
  <si>
    <t>ure GRAN BRETAÑA. Londres 11 de noviembre. La embarcación la Revanche^ que debía tomar á su bordo á Mr. Monroe, ha conducido, según dicen, desde las costas de Inglaterra á las dé Francia á un personage, que lleva una comisión para el cange de prisioneros. Corren voces de paz en todo el rey</t>
  </si>
  <si>
    <t>Monroe y Pinkney</t>
  </si>
  <si>
    <t>bas naciones han ajustado un tratado difiniuvo, que no se duda será muy ventajoso á los Americanos. Mr. Monroe y Pinkney habrán sabido aprovecharse de la situación actual de Inglaterra respecto del Con tiñe rita, y de lo que imp- rta á su comerció y á,los productos de sus fábricas tener una salida,</t>
  </si>
  <si>
    <t>Montalvo, Diego</t>
  </si>
  <si>
    <t>Diego Montalvo</t>
  </si>
  <si>
    <t>n el Regimiento de infantería del Príncipe se ha servido el Rey conferir Compañías ¿i los Capitanes D. Diego Montalvo y D. Pascual Novella, Teniente de granaderos y Ayudante dei propio Cuerpo. En el Regimiento de caballería del Príncipe se ha servido S. M. conceder Tenencia al Alférez D. Ambrosio Gon</t>
  </si>
  <si>
    <t>Montaña, Antonio</t>
  </si>
  <si>
    <t>Antonio Montaña</t>
  </si>
  <si>
    <t>político de la isla de la Margarita, vacante por fallecimiento de D. Miguel de Herrera, al coronel D. Antonio Montaña, comandante de los cuerpos veteranos y de milicias de Curnaná. Penetrada la real junta de hospitales General y de la Pasión de esta corte de los mas tiernos y compasivos sentimien</t>
  </si>
  <si>
    <t>Montbriíó, General</t>
  </si>
  <si>
    <t>General Montbriíó</t>
  </si>
  <si>
    <t>oi. ; ; , Apénas había mandado el General Vandamme qué lás trópás Volviesen Asuspüestos , quandó el General Montbriíó, 'qué estaba de obsérvacidn sofíre'lo* caminos de Ohlau y de Strehlen \ dió ‘aviso dé] móvimientó dSl ■Príncipe de Pless, que habia ya juntado en este último punto tút cúerpcTdé 4</t>
  </si>
  <si>
    <t>Montbrun, General</t>
  </si>
  <si>
    <t>General Montbrun</t>
  </si>
  <si>
    <t>izo marchar hacia Strehlen la caballería wurtemberguesa, con una batería volante, á las órdenes del General Montbrun, y al mismo tiempo destacó al General bávaro Minucci con su brigada para sostenerle. El General Montbrun ha dado parte al Teniente General Seckendorf de los pormenores del combate</t>
  </si>
  <si>
    <t>dores de Bre^laü. El General Hedouville, mayor General del Príncipe Gerónimo , destacó contra él al General Montbrun, Comandante de las tropas de Wmtemberg, y al Genéfal Minucci, Comandante de las de Baviera, que alcanzaron á tos -prusianos en Strehlen, y los derrotaron enteramente, cogiéndoles</t>
  </si>
  <si>
    <t>ciones de las plazas, ha quedado enteramente destrozado en los combates de-29 y 30 de biciembre. £1 General Montbrun con la caballería xvortemberguesa marchó al encuentro del enemigo hácia 'Ohlau, qué ocupó el 28 por ¡la noche. A las % de la madrugada siguiente le atacó el Príncipe de Pless. El</t>
  </si>
  <si>
    <t>ncipio á él envió el General Vandamme 3 regimientos de caballería wiirtemberguesa á las órdenes del General Montbrun, llegando él mismo á Lissa el dia 6 con las primeras partidas de la infantería. El 7 el General Vandamme, acompañado del General Pernety, Comandante de la artillería, y del Corone</t>
  </si>
  <si>
    <t>tre cuyo arrabal y el Oder hay un terreno pantanoso y casi impracticable. Al propio tiempo envió al General Montbrun con sus 3 regimientos de caballería y 3 batallones de infantería ligera würtemberguesa hacia !el parage del Ohlau, donde hay un puente sobre el Oder. El punto de reunión *»del Prí</t>
  </si>
  <si>
    <t>s ; é inmediatameriéé despachó la división Minuccí á Ohlau para reforzar aquel punto, y sostener al General Montbrun. Éntre tanto el Príncipe de Pless había marchado de Brieg hácía Strehlen por el caminó de Schweídnitz, y frustrando la vigilancia' del General Móntbrun, y sorófehendiéndo las part</t>
  </si>
  <si>
    <t>Montemayor, Manuel</t>
  </si>
  <si>
    <t>Manuel Montemayor</t>
  </si>
  <si>
    <t>teros; y en el de voluntarios de Estado subtenencia de bandera al cadete, agregado al mismo cuerpo, D. Manuel Montemayor. S. M. se ha servido conferir el gobierno militar y político de la plaza de Tarifa á D. Manuel Daban y Urrutia, capitán del regimiento de infantería del Príncipe , y la tenencia d</t>
  </si>
  <si>
    <t>Montero de Espinosa, Antonio</t>
  </si>
  <si>
    <t>Antonio Montero de Espinosa</t>
  </si>
  <si>
    <t>Caballero, en quien y su hermana Doña María habían recaído dos créditos de Balbas, pertenecientes á D. Antonio Montero de Espinosa , de 3500 y 4© ducados, impuestos a nombre de D. Francisco Ortega y D. Francisco Montero de Espinosa ; á fin-He que dentro de 1 meses precisos acudan al expresado supremo consejo</t>
  </si>
  <si>
    <t>Montero de Espinosa, Vicente</t>
  </si>
  <si>
    <t>Vicente Montero de Espinosa</t>
  </si>
  <si>
    <t>gimiento de infantería del Príncipe se ha servido S. M. promover á subteniente dé bandera al cadete D. Vicente Montero de Espinosa; y á segundo ayudante del batallón de voluntarios de Valencia al teniente</t>
  </si>
  <si>
    <t>Montero del Carpió, Luis</t>
  </si>
  <si>
    <t>Luis Montero del Carpió</t>
  </si>
  <si>
    <t>jos, herederos y sucesores, á ?os de Brígida Aivarez, administrador ó representante del concurso de D. Luis Montero del Carpió , y á todas y qualesquiera personas que se contemplen con derecho ó acción á los bienes de la referida Doña María de Herrera y Retes, ó de D. Felipe Zapata su marido, para que en</t>
  </si>
  <si>
    <t>Montero y Losada, Francisco Xavier</t>
  </si>
  <si>
    <t>Francisco Xavier Montero y Losada</t>
  </si>
  <si>
    <t>la ciudad de Mérida á D. Ciro de Mcneses y Camacho j y para ía de la villa dé Fuente del Maestre á D. Francisco Xavier Montero y Losada, ambas de Segunda clase, y en el territorio de la orden de 'Santiago. En América. El rey se há servido conferir el empleó;de ayudante del castillo de S. Juan de Ulúa á D. Ramón de</t>
  </si>
  <si>
    <t>Montero, Fernando</t>
  </si>
  <si>
    <t>Fernando Montero</t>
  </si>
  <si>
    <t>rnenez : en el de Almanta empleos de alférez al portaguión D. Josef Hurtado de Mendoza, y al cadete D. Fernando Montero; y el de portaguión al sargento primero Don Diego Camacho: en el de Lusitania empleo de alférez al portaguión Don Diego de Torres; y en el de Sagunto empleo de portaguión al cadet</t>
  </si>
  <si>
    <t>Montero, Francisco</t>
  </si>
  <si>
    <t>Francisco Montero</t>
  </si>
  <si>
    <t>z D. Josef Joaquín Paez; á alférez al portaguión D. Pedro Antonio Muñoz; y á portaguión al sargento D. Francisco Montero. En los dias 3 y 4 del pasado se presentaron á exámenes públicos de gramática castellana y latina, buena versión ó latinidad, y de les elementos de retórica y poética los discípul</t>
  </si>
  <si>
    <t>Montero, Lorenzo</t>
  </si>
  <si>
    <t>Lorenzo Montero</t>
  </si>
  <si>
    <t>tos, en 427,904 rs. 20 mrs. Quien quisiere hacer postura ,1o executará por la escribanía que exerce D. Lorenzo Montero. =Por el m'smo juez y escribanía, que desempeñaD. Felipe Sánchez, se sacan á pública subasta, por el término de 30 dias contados desde el 21 del pasado, 25 pedazos de tierra de pa</t>
  </si>
  <si>
    <t>dé la Madrid y Montes , comisionado regio én dicha ciudad de Toledo , por ia:¡escribanía qué éxerce D. Lorenzo Montero. Por providencia de D. Damian Martínez Cepeda , subdelegado parada venta de bienes eclesiásticos en varios .pueblos del priorato de Santiago de Uclés , residente en la villa de la</t>
  </si>
  <si>
    <t>Montero, Luis</t>
  </si>
  <si>
    <t>Luis Montero</t>
  </si>
  <si>
    <t>jos, herederos y sucesores, á los de Brígida Alvarez, administrador ó representante del concurso de D. Luis Montero dei Carpió, y á todas y qualesquiera personas que se consideren con derecho ó acción á los bienes de la referida Doña María Josefa de Herrera y Retes, ó de D. Felipe Zapata su marido</t>
  </si>
  <si>
    <t>Montero, Pedro Pablo</t>
  </si>
  <si>
    <t>Pedro Pablo Montero</t>
  </si>
  <si>
    <t>y escribanía de D. Manuel López de Ribas, se cita, llama y emplaza á los parientes mas cercanos de D. Pedro Pablo Montero, natural que fue del lugar de Fuenlabrada, para que dentro de 30 dias contados desde la publicación de este anuncio, que se les concede por tres términos, y el último perentorio,</t>
  </si>
  <si>
    <t>Montes, Juan Antonio</t>
  </si>
  <si>
    <t>Juan Antonio Montes</t>
  </si>
  <si>
    <t>reglamento -para impedir el progreso de dichas epidemias y contagios , dividido en des libros, •por D. Juan Antonio Montes, cirujano mayor titular por S. M. del real hospital de S. Cárlos, y real familia del real sitio de Aranjuez. Se hallará en la librería de Hurtado, calle de las Carretas. EN LA-IMP</t>
  </si>
  <si>
    <t>Monteverde, Juan Bautista</t>
  </si>
  <si>
    <t>Juan Bautista Monteverde</t>
  </si>
  <si>
    <t>conocimiento del público. La fragata de la real Compama de Filipinas, nombrada la Pala, mandada por D. Juan Bautista Monteverde, en la navegación que hizo desde Manila á Lima en el año pasado de 1806, descubrió el 18 de febrero unas islas» cuya parte mas meridional se situó en latitud de 3® 27' N. y longit</t>
  </si>
  <si>
    <t>Montmorency</t>
  </si>
  <si>
    <t>presentado en la junta general que celebra anualmente en el mes de enero. De la relación hecha por Mr. Montmorency, secretario de la sociedad, resulta que durante el invierno se han distribuido 332,126 raciones de sopa económica; que se ha asistido á 1734 enfermos, de los quales han sanado 855</t>
  </si>
  <si>
    <t>Monton, Francisco Xavier</t>
  </si>
  <si>
    <t>Francisco Xavier Monton</t>
  </si>
  <si>
    <t>dor de esta villa- D... Isidro Macía de Lleopart á obedecerlas de acuerdo con el cura párroco, Lie. D. Francisco Xavier Monton, quien contribuyó también con mucho zelo á que se realizase un establecimiento que años hace tenia proyectado, y no pudó conseguir por circunstancias y obstáculos que sobreviniero</t>
  </si>
  <si>
    <t>Mora, Santiago</t>
  </si>
  <si>
    <t>Santiago Mora</t>
  </si>
  <si>
    <t>o el Rey promover á capitán de granaderos al de fu-ileros D. Ventura de Mora; á capitán al ayudante D. Santiago Mora; á ayudante al teniente de granaderos Don Manuel Gómez; á teniente de granaderos al de fusileros D. Francisco del Castillo; á tenientes á los subtenientes de granaderos D. Millan</t>
  </si>
  <si>
    <t>Morago, Joaquín</t>
  </si>
  <si>
    <t>Joaquín Morago</t>
  </si>
  <si>
    <t>Paula Espinosa: para la capellanía de Reyes Nuevos de la catedral de Toledo, vacante por muerte de D. Joaquín Morago, á D. Pedro Ruiz, cura párroco de la villa de Bustarviejo en el mismo arzobispado: para el préstamo de la parroquia de la villa de Belvis de1 Monroy en la diócesis de Plasencia, v</t>
  </si>
  <si>
    <t>Morales, Benigno</t>
  </si>
  <si>
    <t>Benigno Morales</t>
  </si>
  <si>
    <t>péíííeí féynode Nueva-España, á Don Juan Francisco Paredes , soldado distinguido del de Saboya; y á D. Benigno Morales,^subteniente de granaderos dél regimiento de infantería de NuevaEspaña, la tenencia de la segunda compañía franca de voluntarios de Catalúñaydehpropioreyájp. - ^ r — ■- r~-- -----</t>
  </si>
  <si>
    <t>do el Rey promover á capitán al teniente D. Antonio Hosta; á tenientes si subteniente de granaderos D. Benigno Morales,y al de fusileros Don Josef Perez; á subteniente de granaderos al de fusileros D. Josef Moreno, y á subtenientes de bandera i los cadetes D. Manuel Cañedo y D. Mariano Quevedo, y</t>
  </si>
  <si>
    <t>Morales, Luis</t>
  </si>
  <si>
    <t>Luis Morales</t>
  </si>
  <si>
    <t>to de caballería de la Reyna se ha servido S, M. conceder empleó de portaestandarte al sargento i.° D. Luis Morales: en el del Infante empleos de alférez i los portaestandartes D. Epifanio Mancha y D.Juan Destandau: en el de Calatrava ayudantía al Teniente D. Miguel Hernández; yen el dé Montesa</t>
  </si>
  <si>
    <t>Morales, Manuel</t>
  </si>
  <si>
    <t>Manuel Morales</t>
  </si>
  <si>
    <t>pitán al T niente D.-Josef María Maestre y Pintoá Tenientes, á los Subtenientes D. Gregorio Acosta, D. Manuel Morales y D. Jmn Gregorio Nieves: &amp; Subtenientes al Cadete D. Juan Nepomuceno Rabadan, á D. Josef María Maestre y Díaz, y D. Josef Vicente Campuzaoo: á Subteniente de bandera á D. Josef Franc</t>
  </si>
  <si>
    <t>Moran, Manuel</t>
  </si>
  <si>
    <t>Manuel Moran</t>
  </si>
  <si>
    <t>rellana cn Uxijar ......... 1.79S .. Licenc.· . 33··' 7. Manuel Clemente.... de Cayetano.. Sinar(as D. Manuel Moran.~. deP. •. Domin,,:, .. ": , .. .n Marcelo Moreno ..... de Pablo....... Sevilla............. .....••....• 1795.' Muert. 107... 17. Valencia ..... 1795" Muert. .. . ." 88 ... 20. .</t>
  </si>
  <si>
    <t>Morant, Rafael</t>
  </si>
  <si>
    <t>Rafael Morant</t>
  </si>
  <si>
    <t>D. Manuel de Albuerne, concediendo los ascensos regulares á los demas que le siguen, y la resulta ¿ D. Rafael Morant. Asimismo en atención á los méritos y circunstancias de D. Cayetano deUrbina, intendente de exército de Valencia, se ha dignado el Rey conferirle plaza de ministro de capa y espad</t>
  </si>
  <si>
    <t>Moreau</t>
  </si>
  <si>
    <t>caso de que se verifique el rompimiento entre ingleses y americanos: que en este mismo caso mandará Mr. Moreau un exército: que en todo el norte de América no tenemos plaza ninguna bien defendida, á excepción de Quebec ; y que en Halifax no hay mas que algunas milicias y dos regimientos re</t>
  </si>
  <si>
    <t>Moreau, General</t>
  </si>
  <si>
    <t>General Moreau</t>
  </si>
  <si>
    <t>azeta de Francia.) GRAN BRETAÑA. Londres 25 de 'Noviembre, v‘ Los rumores que han corrido de que el General Moreau se hallaba en Europa, están destituidos de fundamento, pues escriben de Nueva-Yorck con techa de 18 de Octubre: „EI General Moreau llegará aquí dentro de pocos dias. Ha alquilado</t>
  </si>
  <si>
    <t>Moreda, Santiago</t>
  </si>
  <si>
    <t>Santiago Moreda</t>
  </si>
  <si>
    <t>de la Princesa el empleo dé sargento mayor ai capitán de‘granaderos, graduado de teniente coronel, D. Santiago Moreda: en el de voluntarios de Estado ayudantía ál teniértté de granaderos, graduado de capitán, D. Pedro Pascale, y tenencia al subteniente de granaderos D.~ Vicente Ferreri: en el de</t>
  </si>
  <si>
    <t>Moreno Avendaño, Juan</t>
  </si>
  <si>
    <t>Juan Moreno Avendaño</t>
  </si>
  <si>
    <t>o nombrar para la plaaa de alcalde del crimen de la audiencia de Lima, vacante por fallecimiento de D. Juan Moreno Avendaño, á D. Josef de la Iglesia, oidor decano de la de Charcas; y para.esta resulta á D. Josef Félix de Campoblanco, abogado de dicha audiencia de Lima? y para la alcaldía mayor de S. A</t>
  </si>
  <si>
    <t>Moreno de la Cuesta, Manuel</t>
  </si>
  <si>
    <t>Manuel Moreno de la Cuesta</t>
  </si>
  <si>
    <t>ido nombrar para el corregimiento de letras de segunda clase de la villa de Benabarre, en Aragón, á D. Manuel Moreno de la Cuesta. En América. Habiéndose servido el Rey aumentar en la catedral de Guadaiaxara, reyno de Nneva-España, tres canongías de merced, dos raciones y dos medias-raciones, se ha servido S</t>
  </si>
  <si>
    <t>Moreno González, Gabriel</t>
  </si>
  <si>
    <t>Gabriel Moreno González</t>
  </si>
  <si>
    <t>35* Quien quisiere hacer postura á quaíquicra de ellas acuda al mismo subdelegado, por el oficio de D. Gabriel Moreno González, escribano de la subdelegaron; con la prevención de haberse de celebrar el remate de dichas propiedades en la expresada villa al tercero dia inmediato siguiente al cumplimiento de</t>
  </si>
  <si>
    <t>vieja, valuado en 62© rs., y en renta en 1450. Quien quisiere hacer postura, acuda por el oficio de D. Gabriel Moreno González, en la expresada villa de Buytrago. Por providencia del señor conde de la Torre del Fresno, juez comisionado regio para la venta de bienes eclesiásticos secularizados en la dióces</t>
  </si>
  <si>
    <t>Moreno y Ace, Antonio</t>
  </si>
  <si>
    <t>Antonio Moreno y Ace</t>
  </si>
  <si>
    <t>da en 175,592 rs. 25 mrs. Quien quisiere hacer postura, lo executará por la escribanía del cargo de D. Antonio Moreno y Ace vedo. Por providencia de D. Francisco Tawragóry Riquelme, juez comisionado regio del obispado de Guadix y Baza, se subastan varias fincas de obras pias, servideras por el monaster</t>
  </si>
  <si>
    <t>Moreno y Acedo, Gabriel</t>
  </si>
  <si>
    <t>Gabriel Moreno y Acedo</t>
  </si>
  <si>
    <t>nongía magistral de la colegial de Anteqnera, en lá diócesi de Málaga, vacante por fallecimiento de D. Gabriel Moreno y Acedo, á D. Pedro Muñoz y Arroyo. S. M. ha conferido ai teniente general de sus exércitos D. Josef de Arteaga, ministró del consejo supremo dé 1* Guerra, la comandancia general del seño</t>
  </si>
  <si>
    <t>Moreno y Acevedo, Antonio</t>
  </si>
  <si>
    <t>Antonio Moreno y Acevedo</t>
  </si>
  <si>
    <t>,245 rs. Q.uien quisiere hacer postura, lo executará por la escribanía de la comisión, del cargo de D. Antonio Moreno y Acevedo. Por providencia de D. Luis Arguedas, juez comisionado real para la venta de bienes eclesiásticos en la diócesi de Santander, se ha señalado el dia 6 de Jünio próximo para el rema</t>
  </si>
  <si>
    <t>Quien quisiere hacer mejora, comparezca en dicha comisión, por la escribanía de ella, del cargo de D. Antonio Moreno y Acevedo: se ha de celebrar su remate el dia 12 del corriente en las casas da ayuntamiento. Por providencia de D. Francisco Xavier de Aranguren y Urrutia, juez subdelegado real del departa</t>
  </si>
  <si>
    <t>Moreno y Cavañero, Domingo</t>
  </si>
  <si>
    <t>Domingo Moreno y Cavañero</t>
  </si>
  <si>
    <t>Comercio, moneda y micas se ha dignado conceder privilegio exclusivo, como a inventor, por 8 años á D. Domingo Moreno y Cavañero, vecino de la ciudad de Granada, para que pueda establecer en esta corte y demas pueblos del reyno, según le convenga, y nadie sin su permiso, la máquina que ha presentado para la</t>
  </si>
  <si>
    <t>Moreno y Vicario, Domingo</t>
  </si>
  <si>
    <t>Domingo Moreno y Vicario</t>
  </si>
  <si>
    <t>dencia dei Sr. D. Alfonso Duran y Earazab^l,,Alcalde de Casa y Corte, y Juez de la testamentaría de D. Domingo Moreno y Vicario, Agente que; fué del número de Indias, está mandado citar y emplazar á sus acreedores por este medio, á fin de que comparezcan legalmente, en el termino de 30 dias contados desde</t>
  </si>
  <si>
    <t>Moreno, Francisco</t>
  </si>
  <si>
    <t>Francisco Moreno</t>
  </si>
  <si>
    <t>Rs._ _ mr_ s. Francisco Moreno.... de Francisco.• AeuilardelaFrontera en " C6rdoba.... ••. ......••.•...• 179 S·. Extrav. 100 ... 14'- Fr</t>
  </si>
  <si>
    <t>Moreno, Juan Antonio</t>
  </si>
  <si>
    <t>Juan Antonio Moreno</t>
  </si>
  <si>
    <t>a Católica: 8.a edición, ilustrada con varias notas y noticias de la vida y escritos dei autor, por Don Juan Antonio Moreno. Esta obra, que s? publicó la primera vez baxo el título de Valerio de fas historias en 1487, mereció el ma\or aprecio y aceptación á los sabios del siglo xvi, pues en éi se repit</t>
  </si>
  <si>
    <t>Moreno, Mateo</t>
  </si>
  <si>
    <t>Mateo Moreno</t>
  </si>
  <si>
    <t>o Ramírez de Arellano; y compañía en el de Valencia ai teniente de granaderos, graduado de capitán, D, Mateo Moreno. El domingo'22 del corriente se consagró en la iglesia de monges Bernardos de esta corte el Rmo, é Ilmo. Sr. D. Gerardo Vázquez de Parga, obispo de Salamanca, siendo su consagrant</t>
  </si>
  <si>
    <t>Morera, Gaspar</t>
  </si>
  <si>
    <t>Gaspar Morera</t>
  </si>
  <si>
    <t>e la orden de San Juan, y D. Andrés Cosme: consiliarios seculares el Sr. Marques de Valera , ei Sr. D. Gaspar Morera, y el S*\ D. Mariano de Exea: secretario i.° D. Luis Valcedo, i.° D. Antonio Guijarro: procurador D. Gaspar Teruel: contadores el Sr. barón de Manuel y D. Jayme Manent: tesorero D</t>
  </si>
  <si>
    <t>Morgado Morte, Lucas</t>
  </si>
  <si>
    <t>Lucas Morgado Morte</t>
  </si>
  <si>
    <t>e Avilavacante por promoción de D. Bartolomé Garcimartin yLaiastraá canongía de aquella catedral, á D. Lucas Morgado Morte; y para un beneficio de coro y altar de la catedral de Ibiza, vacante por fallecimiento de D. L idoro Montero , á D. Juan Coll. ■ "* S. M. se ha servido conceder en el regimiento</t>
  </si>
  <si>
    <t>Moríais, Ignacio</t>
  </si>
  <si>
    <t>Ignacio Moríais</t>
  </si>
  <si>
    <t>iz, maestre de víveres que fue de la real armada, para que la persona que lo supiere lo comunique á D. Ignacio Moríais, procurador del número de Cartagena de levante, mediante á haberle cabido parte de cierta herencia que se trata de dividir. LI3ROS. Joan. Gottlieb Heineccii Elementa iuris naturae</t>
  </si>
  <si>
    <t>Moro Mozo, Juan</t>
  </si>
  <si>
    <t>Juan Moro Mozo</t>
  </si>
  <si>
    <t>ión i ios méritos y servicios: del Intendente de provincia, y Ministro jubilado del canal de Campos D. Juan Moro Mozo, ha venido.&lt;el Re,ít en concederle los; honores dé Intendente Her exército. i Ei Capitán D. Francisco Aranguren Comandante de la bandera gene* rpl de América en Cádiz y obsequio:</t>
  </si>
  <si>
    <t>Morpet, Lord</t>
  </si>
  <si>
    <t>Lord Morpet</t>
  </si>
  <si>
    <t>addington. Pero me equívoco; se hizo mas: se envió á reforzar al Rey de Prusia, á mi noble amigo el Lord Morpet, con dos secretarios y un capellán: socorro útil, y oportuno sin duda; pero no del todo bastante contra el exército francés.... El discurso del Rey es mas á propósito para inspira</t>
  </si>
  <si>
    <t>Morrond, Pedro</t>
  </si>
  <si>
    <t>Pedro Morrond</t>
  </si>
  <si>
    <t>288 eia al subteniente de granaderos D. Pedro Morrond®; y subtenencia de bandera en el de Saboya al cadete D. Martin Carreño y Ramírez. El rey se ha servido conceder los honores de su secretario á D. Rafael Martínez de Ariza. \ , i E</t>
  </si>
  <si>
    <t>Mortier, Mariscal</t>
  </si>
  <si>
    <t>Mariscal Mortier</t>
  </si>
  <si>
    <t>nos exijan. La mayor parte de las tropas Francesas ha salido de esta ciudad para otro destino___ El Mariscal Mortier ha salido ayer de aquí: los Franceses se encaminan á Mecklemburgo. Brema 24 de Noviembre. Se ha publicado el bando siguiente:^_,, A los Magistrados de la ciudad de Brema y su terr</t>
  </si>
  <si>
    <t>loi se halla nombrado Gobernador de Thorn. _Se avanza el 8.° cuerpo de exército grande que manda el Mariscal Mortier: su derecha se encuentra en Stettin: su izquierda en Rostoek, y su quartel general en Anklam._Los granaderos de la reserva del General Oudinot van llegando á Custrin.__ En Berlin</t>
  </si>
  <si>
    <t>as ciudades de Magdeburgo, Sttetin, Custrin y Francfort del Oder. Corre muy valida la voz de que el Mariscal Mortier ha entablado traeos de paz con el General d’Essen, Gobernador de Stralsund, quien ha respondido que dará cuenta á su Soberano el Rey de Suecia. Aunque se ha dicho en algunos perió</t>
  </si>
  <si>
    <t>militar, y el Coronel Peyron Comandante particular de la plaza. Sabemos que el quartel general del Mariscal Mortier se halla todavía en Anclam.</t>
  </si>
  <si>
    <t>ó violación de juramento debe castigarse con pena de la vida. _ Stettin 28 de Diciembre de 180S, El Mariscal Mortier se halla aun con su cuerpo dé exército en nuestro país y en los distritos del Mecklemburgo contiguos á la Pomerania. Son muy pocas las tropas suecas que hay en las fronteras, porq</t>
  </si>
  <si>
    <t>nifestar á las tropas bávaras y wurtemberguesási&gt;lc satisfecho que está de’ su conduéth.d *’J! ■ El Mariscal Mortier va erttrárdo en la Porn'éraftia sueca. Las cartas dé Bucharést hablan de los preparativos.militares de Barayctar y del Baxá de WidindEl 20 de Diciembre la vanguardia del exército</t>
  </si>
  <si>
    <t>A. París jo de enero, DIARIO QUÍNQUAGESIMOSEGUNDO DF,L EXERCITO GRANDE. - V-aisoviá i$ de enero. El Mariscal Mortier, Comandante del 8.°t cuerpo del exército grande, destaco un batallón del 2.0 régimíéñto de infantería ligera hacia Wollin. Apenas habian llegado 3 compañías de este batallón, quan</t>
  </si>
  <si>
    <t>Norte aseguran que das negociaciones con Suecia, en caso que hayan existido, se han roto; y que el Mariscal Mortier se dispone á entrar con su cuerpo de exército en la Pomerania sueca. Se han recibido cartas de ConstanAÍnopIá, con fecha de 12 de Diciembre , que dicen haber causado mucho regocij</t>
  </si>
  <si>
    <t>ministros; extrangeros,. Hamburgo, ha dada al exército- grande foS^capotescon 15® se ha quedado el Mariscal Mortier para, sus tropas, :y el restó--se; lleva á Magdeburgo. También ha te nido que aprontan un numero proporcionada de; zapatos*,;</t>
  </si>
  <si>
    <t>e, fecha ea Brandshagejn el 30 dé enero* ’!i~fí . „Ei K° cuerpo del exército grande, mandado por ti Mariscal Mortier, &lt;$e ha apoderado de la Pomérania sueca. Stralsundéstá bloqueada por la parte de tierra. El enemigó intentó oponer alguna resistencia en Greifswald; pero los cazadores del 12.0 de</t>
  </si>
  <si>
    <t>tralsund. Las últimas noticias que hemos tenido de Pomerania aseguran que el cuerpo de exército del Mariscal Mortier, que estaba eii Anclam, ha tomado et camino de Neubrandeburgo¿ Los destacamentos que ocupaban á Usedom y Woliin han evacuado también aquellas plazas. El Senado de esta ciudad ha p</t>
  </si>
  <si>
    <t>Morusi, Príncipe</t>
  </si>
  <si>
    <t>Príncipe Morusi</t>
  </si>
  <si>
    <t>ncías inglesas, y se han seqüestrado todos lo$ al* macenes que tenían géneros de aquella nación. El Príncipe Morusi ha renunciado voluntariamente la dignidad de Príncipe de Moldavia, y el gran Señor ha nombrado en su lugar al Príncipe Hancerli, antiguo dragomán de la Pnerta. La esquadra que sal</t>
  </si>
  <si>
    <t>Moruzzi, Príncipe</t>
  </si>
  <si>
    <t>Príncipe Moruzzi</t>
  </si>
  <si>
    <t>s* habían sido enemigos por mucho tiempo, se han unido ahora para Ja defensa común. Se dice que el: Príncipe Moruzzi ha contribuido á su recon-, crliacioa, yJque indignado, como .ellos, de la invasión de; la Moldavia , ha^ ce lo posible para armar contra la Rusia todas las. provincias de las ori</t>
  </si>
  <si>
    <t>Moscat</t>
  </si>
  <si>
    <t>a confederación del Rin; S. A. el Príncipe de la Paz, almirante de España, y el consejero de estado Mr. Moscat¡ de Milán. Las academias de Petersburgo, Copenhague y Turin, y valias universidades de Rusiá, de Alemania, Holanda é Italia le han remitido otras muchas. El Emperador, nuestro aug</t>
  </si>
  <si>
    <t>Mounier</t>
  </si>
  <si>
    <t>el Profesor Pallas, Mrs. Coulomb, Brisson y Adansonj Fysicos ó Natura-iis-tas, el Senador Tronchet, Mr. Mounier, Schiller, autor Alemán, y Mrs. Gaillard, Collin d’Harieyille, Anquetil y Retif de la Bretonne, escritores Franceses. Avisan de Blankenberghe, puerto pequeño á 3 leguas de Brujas,</t>
  </si>
  <si>
    <t>Moxo, Salvador</t>
  </si>
  <si>
    <t>Salvador Moxo</t>
  </si>
  <si>
    <t>o S. M. conferir compañía al ayudante, graduado de capitán, D. Alonso Arjona; ayudantía al teniente D. Salvador Moxo; tenencia al alférez J). Andrés Bonilla , y esta resulta al portaguión D. Luis Gorrichategui; y en el de Lusitania tenencia al alférez D. Rafael Otondo. Con fecha de 25 de setiemb</t>
  </si>
  <si>
    <t>Moxpeth, Lord</t>
  </si>
  <si>
    <t>Lord Moxpeth</t>
  </si>
  <si>
    <t>£eí¡ .d# laqbataUa de JenaJ’r-; ó El LordvGrfcnviUe-, doritestó abLoíd Haw,ke?bury&gt; justificando al Lord Moxpeth de la precipttacidjfflí de du retiradas. Brétandió^queiáiendo ipúiil dél todo la presencia de aquel EmbaxadoEen él continente $ habiaobechtf^muy bien en volverse á Inglaterra, ,. único</t>
  </si>
  <si>
    <t>Mqruzzi, Príncipe</t>
  </si>
  <si>
    <t>Príncipe Mqruzzi</t>
  </si>
  <si>
    <t>po hace, que le era traydor el Príncipe Ipsilanti , Hospodar de Valaquia, y no fiaba del todo en el Príncipe Mqruzzi, Hospodar de Moldavia. En uso de su incontestable derecho de. soberanía los depuso á entrambos, y nombró eivsu lugar á los Príncipes ’Suzzo y Callimachi. Esta providencia desagrad</t>
  </si>
  <si>
    <t>Muller</t>
  </si>
  <si>
    <t>el imperio francés, que consiste en una estampa, de 24 pulgadas de alto y 30 de ancho, dibuxada por Mr. Muller. Representa la baralla de Austerlitz en el momento en que el exército ruso, después de haber perdido sus posiciones, empieza á retirarse protegido por la caballería del gran duque</t>
  </si>
  <si>
    <t>Müller, Juan</t>
  </si>
  <si>
    <t>Juan Müller</t>
  </si>
  <si>
    <t>. Forfait, ministro que file de la marina. Escriben de Francfort que el célebre Juan Müller, autor de'la acreditada historia de la Suiza, ha pasado por aquella ciudad para Paris&gt; adonde le llama el Emperador Napoleón. -• -; Lá iglesia del Carmen de la calle de Vaugirad de París</t>
  </si>
  <si>
    <t>Mullon, Antonio</t>
  </si>
  <si>
    <t>Antonio Mullon</t>
  </si>
  <si>
    <t>cc:ne. 1:;0 ... 23· Antonio Mullon ..... de Josef.. ...... Talavera ....................... 1795.' [icene. 161. .. 24· Cab.2.0 Alfonso Martinez .... del mismo .... Murda ......................... 1795</t>
  </si>
  <si>
    <t>Muñiz y Gatuno, Miguel</t>
  </si>
  <si>
    <t>Miguel Muñiz y Gatuno</t>
  </si>
  <si>
    <t>M. se ha servido nombrar para la canongía de la catedral de Plasencia, vacante por fallecimiento de D. Miguel Muñiz y Gatuno, á D. Juan Sánchez Vejarano y Paniagua; y para la ración que se halla vacante en la catedral de Córdoba, por muerte de D. Pedro León, 4 D, Josef Joaquín Mozuelo, medio racionero d</t>
  </si>
  <si>
    <t>Muñón, Miguel</t>
  </si>
  <si>
    <t>Miguel Muñón</t>
  </si>
  <si>
    <t>nos precio, sacándolo el dicho Pradilla. También se entregó un estuche al citado Menendez, y otro á D. Miguel Muñón, que se les había adjudica-* do en junta del 5 de enero de este año.__ .En seguida se entregó el primer premio de dibuxo á Juan Falcon, por haber presentado la mejor copia de cabe</t>
  </si>
  <si>
    <t>Muñoz Álvarez, Agustín</t>
  </si>
  <si>
    <t>Agustín Muñoz Álvarez</t>
  </si>
  <si>
    <t>romanos, en latín y castellano, ¿ ilustrado con algunas notas para mejor inteligencia del texto por D. Agustín Muñoz Alvarez, presbítero, individuo de las reales academias latina matritense y de buenas letras de Sevilla, y catedrático primero de latinidad del colegio de S. Miguel de dicha ciudad. Obra ú</t>
  </si>
  <si>
    <t>Muñoz Callejo, Fernando</t>
  </si>
  <si>
    <t>Fernando Muñoz Callejo</t>
  </si>
  <si>
    <t>e en la colegiata de la ciudad de S. Felipe, diócesi de Valencia, por muerte de D. Pedro Redondo, á D. Fernando Muñoz Callejo, confesor y maestro de ceremonias de la de S. Ildefonso. FIN DE LA DESCRIPCION DE DINAMARCA, jDe la Noruega. El reyno de Noruega, dependiente de Dinamarca, tiene 34*0 leguas de la</t>
  </si>
  <si>
    <t>Muñoz de Silva, Gerónimo</t>
  </si>
  <si>
    <t>Gerónimo Muñoz de Silva</t>
  </si>
  <si>
    <t>lle Mayor, una car’a de pago de 10® rs. de tesorería maycr á favor de aquel administrador de rentas D. Gerónimo Muñoz de Silva, con sobre á Valentín Hernaiz de Velasco; y habiéndose extraviado, quien supiere de su paradero, se servirá avisar al referido Elejalde. LIBRO. Los Aguinaldos de Apolo: colección</t>
  </si>
  <si>
    <t>Muñoz de Torres, Bartolomé</t>
  </si>
  <si>
    <t>Bartolomé Muñoz de Torres</t>
  </si>
  <si>
    <t>dio de quien' les represente, ante el expresado Excmo. Sr. D. Josef Eustaquio Moreno, y por mano de D. Bartolomé Muñoz de Torres, escribano de cámara mas antiguo y de gobierno del consejo , que se admitirán las que se hicieren siendo arregladas; y verificado, señalará S. E. dia para su remate. Por providenc</t>
  </si>
  <si>
    <t>Muñoz Montenegro, Tomás</t>
  </si>
  <si>
    <t>Tomás Muñoz Montenegro</t>
  </si>
  <si>
    <t>o simple de la parroquia de la villa de Torre-Perogil, en la diócesi de Jaén, vacante por muerte de D. Tomas Muñoz Montenegro, á D. Antonio Ruiz y García. El rey se ha servido conferir el empleo de teniente coronel del regimiento de infantería del Príncipe á D. Manuel María Trevijano, comandante del terc</t>
  </si>
  <si>
    <t>Muñoz y Arroyo, Pedro</t>
  </si>
  <si>
    <t>Pedro Muñoz y Arroyo</t>
  </si>
  <si>
    <t>al de Anteqnera, en lá diócesi de Málaga, vacante por fallecimiento de D. Gabriel Moreno y Acedo, á D. Pedro Muñoz y Arroyo. S. M. ha conferido ai teniente general de sus exércitos D. Josef de Arteaga, ministró del consejo supremo dé 1* Guerra, la comandancia general del señorío de Vizcaya, y el gobier</t>
  </si>
  <si>
    <t>esi de Zamora: para una canongía de la colegial del Sacromonte de Granada, vacante por promoción de D. Pedro Muñoz y Arroyo á la canongía magistral de la colegial de Antequera, á D. Juan de Mesa y Tapia; y para el beneficio servidero de la parroquial de Sta. María de la ciudad de Cuenca, vacante por fa</t>
  </si>
  <si>
    <t>Muñoz, Felipe</t>
  </si>
  <si>
    <t>Felipe Muñoz</t>
  </si>
  <si>
    <t>caballcria .de Farnesio se ha servido S. Ai. conceder empleo.de portaestandarte al sargento primero D. Felipe Muñoz y al cadete D. Antonio de Vargas j y en el de Calatrava tenencia al alférez Don Pedro Yaniz. i ; v j':En consideración á los méritos y circunstancias de D. Marcos Eermu-* dez, admin</t>
  </si>
  <si>
    <t>Muñoz, Juan</t>
  </si>
  <si>
    <t>Juan Muñoz</t>
  </si>
  <si>
    <t>z, Bartolomé Martin, Pedro Guio, Vívente Crespo, D. Josef García Suelto, Francisco Quintín Sánchez, D. Juan Muñoz, D. Félix Salces, Gonzalo Vega, F...... Pantoja, Manuel Solano, Miguel Quintana, D. Andrés Calvo, Pedro Presa, Albertos Chueca, y al dueño de una cochera en la calle de la Bola, y</t>
  </si>
  <si>
    <t>Muñoz, Lucas</t>
  </si>
  <si>
    <t>Lucas Muñoz</t>
  </si>
  <si>
    <t>~l! ': .-, . .' . Lucas Muñoz......... ~ d~ Seb.asti.~n •. Tarfe en Gr'anada.......... 1793,. Licenc. 77 ... 1 7- Cab. 1,,- Luis Martinez.......... de Pedro...... Valencia ....................</t>
  </si>
  <si>
    <t>Muñoz, Manuel</t>
  </si>
  <si>
    <t>Manuel Muñoz</t>
  </si>
  <si>
    <t>, del orden de San Juan, y D. Vicente Marques; y celadores de las obras de los presos D. Juan Cros, D. Manuel Muñoz, D. Francisco BoschyD. Joaquín Puchalt. Concluí Ja la elección se dio cuenta de los socios que han fallecido el año pasado 180Ó, y sé trataron otros varios puntos pertenecientes i</t>
  </si>
  <si>
    <t>Muñoz, Pedro</t>
  </si>
  <si>
    <t>Pedro Muñoz</t>
  </si>
  <si>
    <t>.0 Se hallará en la librería de Escribano, calle de las Carretas, y frente á los gremios c* casa de D. Pedro Muñoz. Zumbas con que el famoso Juan de Espera en Dios, hijo de Millan, sobrino de Juan de Buen alma, acude á dar vayas, bregas y chascos con los alegres gracejos y salados períodos de</t>
  </si>
  <si>
    <t>Muñoz, Pedro Antonio</t>
  </si>
  <si>
    <t>Pedro Antonio Muñoz</t>
  </si>
  <si>
    <t>eniente D. Pedro Josef Muñoz ; á teniente aí alférez D. Josef Joaquín Paez; á alférez al portaguión D. Pedro Antonio Muñoz; y á portaguión al sargento D. Francisco Montero. En los dias 3 y 4 del pasado se presentaron á exámenes públicos de gramática castellana y latina, buena versión ó latinidad, y de</t>
  </si>
  <si>
    <t>Muñoz- de Torres, Bartolomé</t>
  </si>
  <si>
    <t>Bartolomé Muñoz- de Torres</t>
  </si>
  <si>
    <t>término que va -asignado ante el expresado Excmó.-qSf.''tD’.'Jóséf'Eustaquio Moreno, y por mano de D. Bartolomé Muñoz- de Torres, secretario de S, M., escribano de cámara mas antiguo y de gobierno del consejo, que se adrftitiráñ lás qtft rehicieren, siendo arregladas; y verificado; señalará S. E. dia: para</t>
  </si>
  <si>
    <t>Murar, Príncipe</t>
  </si>
  <si>
    <t>Príncipe Murar</t>
  </si>
  <si>
    <t>es á violín solo, de Lorenceti, r8: un quaderno para piano con los minués del general Hoche, el del Príncipe Murar, dos valses, úna alemanda y una grande marcha, 16 ’ et arte del piino con % t lecciones, dél P. Asiáin, 36; y un juego de versos, del misino, para'órgano, iB. ^ En la librería de</t>
  </si>
  <si>
    <t>Murat, Príncipe</t>
  </si>
  <si>
    <t>Príncipe Murat</t>
  </si>
  <si>
    <t>á las 11 de la manan*, y duró hasta bien entrada la noche. Según refieren todos los prisioneros, el Príncipe Murat, Davoust y Lannes, eran los que mandaban al enemigo: por manera 9 que he peleado con un exército de mas de 50® hombres. Todas mis tropas se han portado con el mayor denuedo. Se ha</t>
  </si>
  <si>
    <t>smo, ópera 94, 3^: un quaderno para piano, con él minué déBáswan-Oglow, el del General flátz, el dd Príncipe Murat, otro ! solo con. la mano izquierda, 2 walses y uná alemafida con 4 variaciones 18 ; las canciones, piara cantar al piano, yo quisiera.tiña iliña 8^ las quejas de una esposa 8; si</t>
  </si>
  <si>
    <t>causa de la guerra que sobrevino en Italia, no pudo enviarlo á Inglaterra, y en el día lo posee el Príncipe Murat. Es de notar que desde la execucion de este grupo se empezó á conocer su predilección á las obras de los griegos. La elección de este asunto quadraoa con la naturaleza de su genio</t>
  </si>
  <si>
    <t>figuras colosales, en Roma en la iglesia de S. Pedro. Amor y Psiquis, de mármol, en la galería del Príncipe Murat,en París. Copia del mismo, en mármol, para el Príncipe Jusupou, en Rusia. Un Cupido, cuya’ cabeza es él retrato dei Príncipe joven Zartorinsjá» de mármol. Copia del mismo, con ia</t>
  </si>
  <si>
    <t>Murgüía, Joaquín</t>
  </si>
  <si>
    <t>Joaquín Murgüía</t>
  </si>
  <si>
    <t>. Felipe Octon y Heredia á solicitud de D. Pablo Blasco,: Presbítero, Tiple de la Real Capilla; por D. Joaquín Murgüía, Prebendado, Organista: de dicha Catedral, autor de los Puntos ; papel en 8.® marquilla. Véndese en la librería de Matute,, calle angosta de Majaderitos, También se vende la Histo</t>
  </si>
  <si>
    <t>Muría Magdalena Clout de Guztnan</t>
  </si>
  <si>
    <t>lto se convoque á todas y qualesqulera personas que presuman tener mejor derecho que el concurso de Doña Muría Magdalena Clout de Guztnan, vecina que fue de Sevilla, á quien en 21 de agosto de 1794 se declaró tocar, y expidió para su pago, baxo de fianza de acreedor de mejor derecho, la certificación correspondiente</t>
  </si>
  <si>
    <t>Murray, Almirante</t>
  </si>
  <si>
    <t>Almirante Murray</t>
  </si>
  <si>
    <t>Almirante V-iltaurr.ez. El choque duró 40 minutos, y la fragata perdió 13 hombres. La esauadra del Almirante Murray ha dado la vela de Portsmouth. Asimismo han calido de nuestros puertos para sus respectivos destinos los diferentes armamentos y convoyes que estaban detenidos -por los vientos co</t>
  </si>
  <si>
    <t>Murray, Jorge</t>
  </si>
  <si>
    <t>Jorge Murray</t>
  </si>
  <si>
    <t>altersdorff, Lutken y KirchhofF, y por la de los ingleses Sir Arthuro Wellesley, Sir Home Popham, y Sir Jorge Murray. El gobierno de dinamarca no ha reconocido la capitulación. Escriben de Holstein que se ha prohibido toda comunicación con la isla de Zelandia. La dirección general de postas de D</t>
  </si>
  <si>
    <t>Nadal, Tomás Benito</t>
  </si>
  <si>
    <t>Tomás Benito Nadal</t>
  </si>
  <si>
    <t>t: tesorero D. Pedro Bergeyre : celadores ecle« siásticos de ios exercicios espirituales el Dr. Fr. D. Tomas Benito Nadal, del orden de San Juan, y D. Francisco Alberto Miró: celadores sécula** reí ídem el Sr. Fr. D. Alberto Adell, del orden de San Juan, y D. Vicente Marques; y celadores de las obras</t>
  </si>
  <si>
    <t>Naghten, Juan</t>
  </si>
  <si>
    <t>Juan Naghten</t>
  </si>
  <si>
    <t>en los regi-j míenlos de infantería de Irlanda» voluntarios de Estado y Ñapóles á los subtenientes D. Juan Naghten, D. Jacinto Ruiz y D. Juan Josef Arríete; y subtenencias de bandera en el de Cantabria al sargento primero D. Francisco Casalbon , y en el expresado de Ñapóles al cadete D. Ramón</t>
  </si>
  <si>
    <t>Nansquty, General</t>
  </si>
  <si>
    <t>General Nansquty</t>
  </si>
  <si>
    <t>4 « g. . Paso dd Wrcka* b AI propio tiempo el General Nansquty con la división Klein y una brigada de caballería ligera derrotaba mas allá de Rursomb á íos Cosacos y caballería enemiga',que habia pasado el Wrcka por este punto, y atravesaba p</t>
  </si>
  <si>
    <t>Napoleón Carlos, Príncipe</t>
  </si>
  <si>
    <t>Príncipe Napoleón Carlos</t>
  </si>
  <si>
    <t>mente en el palacio de St. Cloud, en compañía de S. M. la Emperatriz. El cadáver de su hermano , el Príncipe Napoleón Cárlos, ha sido trasladado desde</t>
  </si>
  <si>
    <t>Napoleón Luis, Príncipe</t>
  </si>
  <si>
    <t>Príncipe Napoleón Luis</t>
  </si>
  <si>
    <t>es én Inglaterra. HOLANDA. Haya 3. de junio• Ayer mañana salid para París el cadáver de S- A. R. el Príncipe Napoleón Luis en una carroza tirada por 6 caballos- Se cree que será enterrado en S. Dionisio,con el ceremonial correspondiente á su augusto nacimiento. * Las últimas cartas de Copenhague, con fe</t>
  </si>
  <si>
    <t>Napoleón, Gerónimo (príncipe)</t>
  </si>
  <si>
    <t>Príncipe Gerónimo Napoleón</t>
  </si>
  <si>
    <t>plaaos y almacenes de qualquier especie, se entregará fielmente á&lt; los oficiales que S. A.. I. el. Príncipe Gerónimo Napoleón nombre para recibirlo é inventariarlo. iti. La guarnición será prisionera de. guerra: desfilará á presencia de los sitiadores el 7 á las 10 de la mañana con banderas desplegadas y</t>
  </si>
  <si>
    <t>serán tratados también al tenor del artículo vm de la capitulación de Magdeburgo. vrr. S. A. I. el Príncipe Gerónimo Napoleón ofrece protección á nomibre de su Soberano á toda especie de religión que profesen los habitantes, hacendados y arrendadores de Breslau, y seguridad entera para las personas y bie</t>
  </si>
  <si>
    <t>de la mañana. xyiii. En atención á lo mucho que ha padecido la ciudad con él bombardeo, S. A. I. el Príncipe Gerónimo Napoleón, ofrece reducir á lo mé. nos posible la guarnición que quede. xix. Se concede al Gobernador un pasaporte para su edecáná quien no se considerará prisionero dé guerra, para que lle</t>
  </si>
  <si>
    <t>enben, gobernador de la ciudad y casil lo de Neiss. = Wi?ger , comandante del castillo. S. A. I. el Príncipe Gerónimo Napoleón aprir ba la capitulación precedente. Por mandado de S. A. , T. Hedouville. S. M. el Emperador y Rey ha dirigido á los arz bispos y obispos de Francia una carta con fecha de 15 del</t>
  </si>
  <si>
    <t>o de 1807.zzDalbig, comandante del cuerpo del bloqueo. zzPuttkamer, coronel comandante. S. A. I. el Príncipe Gerónimo Napoleón aprueba la capitulación que precede. = De orden de S. A. el Príncipe■ dé Hohenzollern. ■ ■ -..... ————j—■ Escriben de ¡Metz que entre.Los escombros de un estanque que se está cons</t>
  </si>
  <si>
    <t>erónimo. = De Gleissenberg, comandante de la plaza. rr De Braun. = El conde de Goetzen. S. A. I. el Príncipe Gerónimo Napoleón aprueba la capitulación precedente.^iDe orden de S. A. I. T. Hedouville. ■ ... 11 — Según las relaciones de oficio remitidas al gobierno se han muerto en el discurso de ún año en</t>
  </si>
  <si>
    <t>s del Emperador Napoleón. XV111- Él Emperador de todas las Rnsias reconoce igualmente á S. A. I. el Príncipe Gerónimo Napoleón como Rey de Westfaiia.</t>
  </si>
  <si>
    <t>794 vi. $. M. el Rey de'Prusia recouoce igualmente á S. A. I. el Príncipe Gerónimo Napoleón como Rey de Westfalia. vil. S. M. el Rey de Prusia cede en toda propiedad y soberanía á los Reyes, grandes duques, duques ó Príncipes que designe S. M. el Empe-* radar de los fran</t>
  </si>
  <si>
    <t>Budberg. El Emperador Alexandro ha condecorado con las insignias de la grande orden de S. Andrés al Príncipe Gerónimo Napoleón; Rey de Wesffalia, al gran Duque de Berg y de Cleves, al Príncipe de Neufchatel y al Príncipe de Benevento. A las 3 de la tárde vino el Rey de Pirusia á visitar al Emperador Napol</t>
  </si>
  <si>
    <t>dén vinieron también el dia 24 á cumplimentar á S. M. L PRUSIA. Breslau 17 de julio. Ayer marchó el Príncipe Gerónimo Napoleón con su comitiva para Dresde, adonde le ha llamado su hermano el Emperador. Antes de salir de Silesia manifestó el Príncipe su satisfacción á las tropas que han peleado baxo sus ór</t>
  </si>
  <si>
    <t>NapoleónComandante, Gerónimo (príncipe)</t>
  </si>
  <si>
    <t>Príncipe Gerónimo NapoleónComandante</t>
  </si>
  <si>
    <t>ión Vándam— me, Grande Oficial y Gran Cruz de la Legión de Honor; ámbos.autorizados por S. A. S. el Príncipe Gerónimo NapoleónComandante en gefe. de las tropas aliadas de S. M. el Emperador Napoleón por una parte; y por la. otra el Exento. Sr. Teniente General, d.e Thile, Gobernador de; Breslau, Coronel de un regimie</t>
  </si>
  <si>
    <t>Naranjo, Francisco</t>
  </si>
  <si>
    <t>Francisco Naranjo</t>
  </si>
  <si>
    <t>te D- Luis Serrano , á teniente al alférez D. Pedro Martines Ucamuzaga r y á portaguiones aL cadete D. Francisco Naranjo y al sargento primero B. Francisco Terrones, En las dos compañías sueltas de milicias disciplinadas de infantería del partido de Lorica, en el reyno de Sta. Fe» se ha dignado S. M.</t>
  </si>
  <si>
    <t>Narciso Caries</t>
  </si>
  <si>
    <t>segundo. En la del mismo idioma, del cargo de D. Josef Sabatier, á D. Agustín Alvarez al primero, á D. Narciso Caries al segundo. En la de lengua inglesa, del cargo de D. TomasKaorney , á D. Rafael Sousa.al primero, á D* Cárlos Guernica al segundo.__ Habiendo remitido al Excmo. Sr. Marques Caball</t>
  </si>
  <si>
    <t>Narciso Coll y Prat</t>
  </si>
  <si>
    <t>868 metropolitana de Caracas, vacante por fallecimiento de D. Francisco de Ibarra, á D. Narciso Coll y Prat, capiscol mayor de la catedral de Gerona. En el regimiento de infantería de la Havana se ha servido S. M. promover á comandante del tercer batallón ai coronel D. Mauricio de Zuñig</t>
  </si>
  <si>
    <t>Narciso Martín Rico Escamochero</t>
  </si>
  <si>
    <t>o. S. M. se ha servido nombrar para una canongia, vacante en la catedral de Plaséncia por muerte de D. Narciso Martin Rico Escamochero, á Don Manuel Nava y Valbuena. El Rey se ha servido conferir compañía en el regimiento de infantería de Málaga al ayudante, graduado de teniente coronel, D. Martin Martínez; y ten</t>
  </si>
  <si>
    <t>Narciso Villastrcs</t>
  </si>
  <si>
    <t>24386, 27664, 29354» 38055 , 38641,42367 y 42910 , todos de la creación de setiembre endosados por D. Narciso Villastrcs en 20 de junio á favor de dichos de Arabet Gauticr, Manning y compañía, y por estos á dicho D. Jorge Teodoro Ladico; y habiendo sido apresado dicho correo en 27 de junio por la frag</t>
  </si>
  <si>
    <t>Narciso Villastres</t>
  </si>
  <si>
    <t>núms. 24386, 27664, 29354, 3.8055, 38641 y 42910, todos de la creación de setiembre, endosados por D. Narciso Villastres en 20 de junio á favor de dichos de Arabet, Gautiér, Manning y compañía, y por estos á dicho D. Jorge Teodoro Ladico; y há</t>
  </si>
  <si>
    <t>Narvaez, Antonio</t>
  </si>
  <si>
    <t>Antonio Narvaez</t>
  </si>
  <si>
    <t>iento de infantería de Arag n te ha servido el Rey promover á teniente al subteniente de granaderos D. Antonio Narvaez. En el regimiento de di agones del Rey se ha servido S. M. conceder empleo de alférez al portaguión D. Fernando Sada: en el de Villaviciosa la tenencia coronela ai teniente corone</t>
  </si>
  <si>
    <t>Nava y Valbuena, Manuel</t>
  </si>
  <si>
    <t>Manuel Nava y Valbuena</t>
  </si>
  <si>
    <t>a canongia, vacante en la catedral de Plaséncia por muerte de D. Narciso Martin Rico Escamochero, á Don Manuel Nava y Valbuena. El Rey se ha servido conferir compañía en el regimiento de infantería de Málaga al ayudante, graduado de teniente coronel, D. Martin Martínez; y tenencia en el de voluntarios de</t>
  </si>
  <si>
    <t>Nava, Gaspar María</t>
  </si>
  <si>
    <t>Gaspar María Nava</t>
  </si>
  <si>
    <t>as de Castillo, frente á las gradas de S. Felipe, y de Villareal, calle de las Carretas. Poesías de D. Gaspar María Nava,conde deNoroña,que contienen odas, canciones , anacreónticas, madrigales, la oda á la paz entre España y Francia, y un poema filosófico &amp;c.: 2 tomos en 8.° á 30 rs. en pasta. Prin</t>
  </si>
  <si>
    <t>Navarrete, Antonio</t>
  </si>
  <si>
    <t>Antonio Navarrete</t>
  </si>
  <si>
    <t>rs. Quien quisiere hacer postura lo executará por la escribanía de la comisión, que está á cargo de D. Antonio Navarrete. Quien quisiere hacer postura i una casa sita en el lugar de Torrejon de la Calzada, de esta jurisdicción, tasada en 9615 rs., y una viña sita en término y jurisdicción de la vill</t>
  </si>
  <si>
    <t>Navarrete, Manuel</t>
  </si>
  <si>
    <t>Manuel Navarrete</t>
  </si>
  <si>
    <t>por menor, y se enagenará también en estos términos. Para las noticias que convengan se recurrirá á D. Manuel Navarrete, caballero del orden de Carlos rrr, vecino de Granada, ó á D. Manuel de Céspedes, maestrante de Ronda, residente en Cádiz. ’ Se halla vacante la plaza de médico de la villa de Alb</t>
  </si>
  <si>
    <t>Navarro Pingarron, Ramón</t>
  </si>
  <si>
    <t>Ramón Navarro Pingarron</t>
  </si>
  <si>
    <t>de término contados desde el de la aprobación. Quien quisiere hacer dicha mejora, acuda ante el Sr. D. Ramón Navarro Pingarron, alcalde de casa y corte, por la escribanía de provincia de D. Baldomero Mora ledaPara el remate del término despoblado de la villa de Cabezuelas, con todos sus aprovechamientos d</t>
  </si>
  <si>
    <t>Navarro y María Gaudevila, Francisco Xavier</t>
  </si>
  <si>
    <t>Francisco Xavier Navarro y María Gaudevila</t>
  </si>
  <si>
    <t>érfanos de S. Vicente, nuestra señora de la Misericordia, y fundaciones de D. Juan Bautista Mas, de D. Francisco Xavier Navarro y Doña María Gaudevila, baxo las mismas condiciones y examen.__ Para estimulará la buena educación en otras poblaciones de éste reyno se darán 6 premios de 50 rs., -3 para niños y 3 para niñas de las es</t>
  </si>
  <si>
    <t>Navarro, Bautista</t>
  </si>
  <si>
    <t>Bautista Navarro</t>
  </si>
  <si>
    <t>Muert. 17 1 ••• !!. Bautista Navarro ..... d~ Bautista.•.• Navelda ....................... 179S .. Lic~c. 23 6 ... 16• :Bautista Gonzalbes. de Francisco.. Elche.......................</t>
  </si>
  <si>
    <t>Navarro, Manuel</t>
  </si>
  <si>
    <t>Manuel Navarro</t>
  </si>
  <si>
    <t>núm. xix, se hallará desde mañana sábado en el despacho de la Imprenta Real; y en Cádiz en casa de D. Manuel Navarro. Por decreto del Sr. Intendente de esta provincia de 23 de enero último se ha aprobado el remate de la casa sita en lá calle de Atocha, plazuela de Antón Martin, núm. 10 , manz. 2</t>
  </si>
  <si>
    <t>ña.de 3 1 de Octubre, núm. xx, se hallará en el despacho de la Imprenta Real; y en Cádiz en casa de D. Manuel Navarro. La eficacia de quina calisaya para cortar les calenturas intermitentes ó terciana?, y, curar las. demás enfermedades., én las quales está indicado el uso de ella, es 4an« manifie</t>
  </si>
  <si>
    <t>de 15 de noviembre, núm. xxi, se hallará en el despacho de la imprenta real; y en Cádiz en casa de D. Manuel Navarro. VENTAS JUDICIALES. Por providencia del Sr, D. Torqu&amp;to Antonio Collado, teniente corregidor de esta vida, se ha mandado continuar por término de 15 dias la subasta de las fincas</t>
  </si>
  <si>
    <t>de 3'» de noviembre, num. xxn, se hallará en el despacho de la imprenta real; y en Cádiz en casa de D. Manuel Navarro. 1 VENTA'S JUDICIALES. ' Por providencia de D. Francisco Xavier Uriortua, juez comisionado regio para la venta de bienes eclesiásticos en la diócesi de Cádiz, se ha señalado el dí</t>
  </si>
  <si>
    <t>de 3* de diciembre, núm. xxiv, se hallará en el despacho de la imprenta real; y en Cádiz en casa de D. Manuel Navarro. VENTAS JUDICIALES. Por la comisión real de la diócesi de Barcelona, y en virtud de auto del juez subdelegado del distrito de Villafranca de Panades D. Josef Guixer y Sala, alcald</t>
  </si>
  <si>
    <t>io de .España de enero de 1807 se hallará en el despacho de la Imprenta real, y en Cádiz en casa de D. Manuel Navarro.—Varias circunstancias</t>
  </si>
  <si>
    <t>o de España de febrero de 1807 te hallará en el despacho de la imprenta real, y en Cádiz en casa de D. Manuel Navarro. VENTAS JUDICIALES. El señor intendente de esta provincia, por decreto de 14 de este mes, ha señalado el término de 3o dias para la mejora del quarío de una casa sita en esta cort</t>
  </si>
  <si>
    <t>de marzo de 1807 se hallará desde mañana en el despacho de la imprenta real, y en Cádiz en casa de D. Manuel Navarro. VENTAS JUDICIALES. Con real facultad se venden dos dehesas de p3sto y labor, $ita9 en término de la ciudad de Píasencia, la una de caber 800 fanegas, de buena calidad, mediana é</t>
  </si>
  <si>
    <t>de abril de 1807 se hallará desde mañana en el despacho de la imprenta real, y en Cádiz en casa de D. Manuel Navarro. VENTAS JUDICIALES. Quien quisiere hacer postura á una casa sita en esta corte, calle del Ave María, esquina á la de S. Carlos, núm. 1, manz. 39, tasada en 139,250 rs. 8 mrs., acu</t>
  </si>
  <si>
    <t>urio de España de mayo de 1807 se hallará en el despacho de la imprenta real, y en Cádiz en casa de D. Manuel Navarro. VENTA JUDICIAL. Por providencia del Sr. D. Torquato Antonio Collado, teniente corregidor de esta villa, se ha señalado el dia 38 del presente para el remate de las lincas siguien</t>
  </si>
  <si>
    <t>de junio de 1807 se hallará desde mañana en el despacho de la imprenta real, y en Cádiz en casa de D. Manuel Navarro. VENTAS JUDICIALES. El Sr. Intendente de esta provincia, por su decreto de 28 de noviembre próximo pasado, ha aprobado el remate celebrado de una casa sita en esta corté en la cal</t>
  </si>
  <si>
    <t>Navarro, Rafael</t>
  </si>
  <si>
    <t>Rafael Navarro</t>
  </si>
  <si>
    <t>8ij el modo de multiplicarlas, sus diferentes insertos, podas &amp;c.----En el dia 6 disertó el diácono D. Rafael Navarro sobre los vinos en general,.sus relaciones con el terreno, clima, estaciones y cultivo; sobre la vendimia, fermentación y trasiega; finalmente de las enfermedades del vino, medio</t>
  </si>
  <si>
    <t>Navaz, Tadeo</t>
  </si>
  <si>
    <t>Tadeo Navaz</t>
  </si>
  <si>
    <t>, en la diócesi de Pamplona, vacantes por muerte de D. Manuel Maya García y Don Francisco Torres, á D. Tadeo Navaz y á D. Joaquín Lazcano. El Rey se ha servido conferir en el regimiento de infantería de Asturias la comandancia del tercer batallón al sargento mayor D. Antonio Falques : en el de l</t>
  </si>
  <si>
    <t>Ncrberto Alo-ólla</t>
  </si>
  <si>
    <t>s y D. Mateo González; á Ay udante al Teniente D. Juan Mapuel Figueroa; á Tenientes á los Alféreces D. Ncrberto Alo-ólla, D.Gregorio Santayana,D. ManuelNacero , Don Pedto, Dueñas, D. Rafael González y D. Vicente Ferro; á Alféreces á los Cadetes D. Mariano Campana, D. Juan Alegría, D. Angel Mariano R</t>
  </si>
  <si>
    <t>Neergaad</t>
  </si>
  <si>
    <t>243 Roma gi de enero. Mr. Neergaad, hábil químico dinamarqués, ha llegado de Ñapóles» donde ha hecho varias observaciones importantes acerca de las lavas, y en general sobre todos los minerales de aquel país. Desde</t>
  </si>
  <si>
    <t>Negrete y Bartolomé Fauret, Francisco</t>
  </si>
  <si>
    <t>Francisco Negrete y Bartolomé Fauret</t>
  </si>
  <si>
    <t>Beza ; y subtenencias de bandera en los de voluntarios de Estado y Borbon á los sargentos primeros D. Francisco Negrete y Don Bartolomé Fauret: subtenencia de bandera en el de Mallorca al sargento primero de granaderos D, Cirilo López; y en el segundo batallón de voluntarios de Cataluña al cadete D. Francisco García de O</t>
  </si>
  <si>
    <t>Negrete, Julián</t>
  </si>
  <si>
    <t>Julián Negrete</t>
  </si>
  <si>
    <t>a Ibañez el segundo- En la de segundo año de la misma facultad, del cargo, en el presente curso, de D. Julián Negrete, se consideró dignos del primer premio á D. Josef Cacho y á D. Antonio Ramírez de Aro, Conde de Monte-nuevo, que ha asistido á estos estudios de orden de S. M. En la de dibuxo, de</t>
  </si>
  <si>
    <t>Negri, Luis</t>
  </si>
  <si>
    <t>Luis Negri</t>
  </si>
  <si>
    <t>ha asistido á estos estudios de orden de S. M. En la de dibuxo, del cargo de D^ Gregorio Sánchez, á D. Luis Negri al primero, á D. Francisco de la Torre al segando, á D. Josef Salazar al tercero. En la de lengua francesa, del cargo de D. Dionisio Pelleport, á Don Josef Chacón al primero, á D.</t>
  </si>
  <si>
    <t>Nevado, Pedro</t>
  </si>
  <si>
    <t>Pedro Nevado</t>
  </si>
  <si>
    <t>antos Ballesteros Fermosell *• para una ración de la catedral de Osma, vacante por fallecimiento de D. Pedro Nevado, á D. Fernando Caya; y para el préstamo beneficio simple de la parroquia de la villa de Torre-Perogil, en la diócesi de Jaén, vacante por muerte de D. Tomas Muñoz Montenegro, á D.</t>
  </si>
  <si>
    <t>Newark, Lord</t>
  </si>
  <si>
    <t>Lord Newark</t>
  </si>
  <si>
    <t>9 años de edad. GRAN BRETAÑA. Londres 8 de julio. ' CMmara de los comunes, sesión del 26 de junio. Lord Newark propus# la respuesta al mensage de S. M., en que se trata de justificar la conducta del ministerio respecto á la disolución del parlamento anterior. Mr. Hall apoyó la propuesta; y</t>
  </si>
  <si>
    <t>Newport</t>
  </si>
  <si>
    <t>isitas que juzguen oportunas á fin de averiguar si tienen armas las que no gozan del privilegio. '• Mr. Newport preguntó quanto tiempo debían durar las disposiciones de este bilí; y Sir Arthuro respondió, que 7 años; bien que su opinión no estaba aun bien decidida sobre este punto, el qual</t>
  </si>
  <si>
    <t>Ñey, Mariscal</t>
  </si>
  <si>
    <t>Mariscal Ñey</t>
  </si>
  <si>
    <t>Diciembre.) . . -i ;DIARIO QUADRAGESIMO DEL EX ERCIT O GRANDE. . : Pósen a Diciembres ob [&lt; ' ‘ El Mariscal Ñey páso el Vístula, y él dia 6 liégóá.Thórn: alaba mu-o cho al Coronel Savary* quien al frente del Regimiento de infantería, número *4 , y de los granaderos y escopeteros del 96 y de</t>
  </si>
  <si>
    <t>Ney, Mariscal</t>
  </si>
  <si>
    <t>Mariscal Ney</t>
  </si>
  <si>
    <t>.; , ■■*». " . ; ■ - Posen 14 de Diciembre de 180 &lt;T. El General dé Brigada,Balair, dei cuerpo tdei Mariscal Ney, salid de Thorn el 9 del corriente para Galap. El 6.° batallón de infantería ligera y el Comandante de esquadrpn Schoeni con 60 hombres del Regimiento n. 3.0 de húsares, encontrar</t>
  </si>
  <si>
    <t>s la orilla derecha del Vístula. El Mariscal Bessieres está sostenido por el,cuerpo de exército del Mariscal Ney, que llegó ei 18 á Ripin, y por su parte tiene apoyada su derecha en el cuerpo del mando del Mariscal Príncipe de Ponte-Corvo. Así que, todo está en movimiento. Si el enemigo se e</t>
  </si>
  <si>
    <t>tidos en el barro., ^ DIARIO. QUADRAGáSÍMOSÉXTo'DEL ÉXERCtTp GÍRkNl&gt;IS. Golymin 28 de Diciembre* El Mariscal Ney, encargado de separar del Wrcka al Teniente General Prusiano Lestocq., y de amenazar, sus coqiqniGaciones con el fin de cortarle de ios Rasos , ha dirigido .estos,movimientos con</t>
  </si>
  <si>
    <t>Posen el 16. Los Rusos empezaban á moverse, y todas las señales eran de que querian acometernos. El Mariscal Ney, que era dueño de Thorn hacia algunos dias, reunió todas sus fuerzas en Gallup. El Mariscal Bessieres con el segundo cuerpo de caballería de la reserva, compuesto de las divisione</t>
  </si>
  <si>
    <t>tos, pero mas de 200 heridos. Al mismo tiempo en la otra extremidad de la línea de operaciones , el Mariscal Ney destrozaba las reliquias del exército Prusiano, que huyeron á los bosques de Lauterburg con pérdida considerable; y el Mariscal Bessieres cortaba tres esquadrones de húsares, los hac</t>
  </si>
  <si>
    <t>chuelo de Orcye para cubrir los quarteles del exército, En los de la izquierda tienen sus tropas el Mariscal Ney, el Príncipe de Ponte Corvo y el Mariscal Bessieres. Los cuerpos de exército ’ de les Mariscales Soult, Davoust y Lannes ocupan á Pultusk y las oriiias del Bug, £1 exército enemig</t>
  </si>
  <si>
    <t>no hasta Zolndeck. Las tropas prusianas, después de la pérdida que tuvieron en el cómbate contra el Mariscal Ney, se han juntado á los rusos cerca de Lipsik. El exército francés se halla detras del Narew;y sus húsares y cazadores han ocupado á Ostrolenka, Lomsk y BieUk. El cuerpo principal d</t>
  </si>
  <si>
    <t>l exército parece que ha recaído en el GeneralBenigsen. Algunos batallones de infantería ligera del Mariscal Ney se habían adelantado 20 leguas mas allá de .sus quarteles' de invierno. Esto produxo algún l^ezelo .enrél.ejército, enemigo ^ obligándole á hacer un "movimiento sobre su derecha;</t>
  </si>
  <si>
    <t>Néy-elogia, Mariscal</t>
  </si>
  <si>
    <t>Mariscal Néy-elogia</t>
  </si>
  <si>
    <t>— rfilltiS delcómbatedé ■'Soldán hañ sido 6?cañoñfés, algunas bandejas y bastantes prisioneros. Éír Mariscal Néy-elogia la conducta del General Wori,1er ve*dt, ^úe ha sido herido: hace mención particular del C roñe! B u d i 69.°, que se ha distinguido por su valor. El mismo dia el 59.° ha avanzado sob</t>
  </si>
  <si>
    <t>Nicafio Carrascosa, Francisco</t>
  </si>
  <si>
    <t>Francisco Nicafio Carrascosa</t>
  </si>
  <si>
    <t>miento de infantería de Cartagena de Indias se ha dignadaS. M. promover á capitanes á ios tenientes D. Francisco Nicafio Carrascosa, D. Gregorio García y D. Diego Fernandez de Castro, los dos primeros de granaderos; á ayudante mayor al teniente D. Lorenzo Escudero ; á tenientes de granaderos á los de fusileros</t>
  </si>
  <si>
    <t>Nicasio de la Concepción Pirez</t>
  </si>
  <si>
    <t>nombrar para una canongía de la catedral de Ceuta, vacante por fallecimiento de D. Antonio Mees, á D. Nicasio de la Concepción Pirez, racionero mas antiguo de la misma iglesia: para esta resulta á D. Francisco Mas, capellán dei regimiento fixo de aquella plaza, y teniente de la parroquia de Sta. María de aquell</t>
  </si>
  <si>
    <t>Nicasio Gallego, Juan</t>
  </si>
  <si>
    <t>Juan Nicasio Gallego</t>
  </si>
  <si>
    <t>Santander. Oda á la gloriosa defensa de Buenos-Ay res por lo* españoles en 5 de julio de 1807, por D. Juan Nicasio Gallego. Se vende á 2 rs. en las librerías de Perez, calle de las Carretas, y de Castillo, frente á las grada* de S. Felipe. MUSICA. En la librería de Llera se vende un villancico á 4 voc</t>
  </si>
  <si>
    <t>NicholaSj</t>
  </si>
  <si>
    <t>bía pasado con una comisión para el Príncipe Real de Dinamarca , el qual no ha querido darle oidos. Mr. NicholaSj vice-cónsul de Inglaterra en Petersburgo, se embarcó ayer en Gotenburgo para Londres. En el mismo puerto se han embarcado también para Inglaterra el conde de Lila y el duque de An</t>
  </si>
  <si>
    <t>Nícolau, Antonio</t>
  </si>
  <si>
    <t>Antonio Nícolau</t>
  </si>
  <si>
    <t>e infantería de Zamora tenencia al subteniente D. Ramón Galiano, y subtenencia de bandera al cadete D. Antonio Nícolau: en el de Zaragoza subtenencia de bandera al sargento primero de granaderos D. Pedro Dupont; y en el batallón de voluntarios de Tarragona ei empleo de capitán segundo al teniente</t>
  </si>
  <si>
    <t>Niederer</t>
  </si>
  <si>
    <t>an celebre por eiftiuevo método que ha invpnta4q¡ enseñanza y educación, se propone, de acuerdo con Mr. Niederer y otros sabios, puoiiear un periódico relativo á este importante objeto (i). ; ITALIA. . ' =... , . f » s Ñapóles rj de Diciembre de 18o6~¿ ; .*■ t * S. AL ha tonjado, las .providen</t>
  </si>
  <si>
    <t>Niéolas de Sierra</t>
  </si>
  <si>
    <t>el crimen mas antiguo de la misma chancillería : y para la fiscalía del crimen de Sevilla» que,dexa D. Niéolas de Sierra* á D. Fulgencio Rubia de Celis S. M. se ha servido nombrar para ía iglesia y obispado de Salamanca, vacante por fallecimiento del limo. Sr. D. Antonio Tavira, ai R. P. Fr. Gerardo</t>
  </si>
  <si>
    <t>Nieto, Henrique</t>
  </si>
  <si>
    <t>Henrique Nieto</t>
  </si>
  <si>
    <t>arratea y Mariano Blanco, haciendo mención honorífica de Salvador Garran y Juan Trápaga.„L,En la de D. Henrique Nieto el i.° por leer &amp;c. á Gervasio Gutiérrez, Antonio Blanco Ramonet y Cayetano Rodríguez, y por escribir á Pedro Figuero y Pedro Oscariz; dándose el accessit á Francisco Gutiérrez, Ram</t>
  </si>
  <si>
    <t>Nieto, Manuel</t>
  </si>
  <si>
    <t>Manuel Nieto</t>
  </si>
  <si>
    <t>reces á los sargentos primeros D. Maximiliano Martinez , D. Teodoro Guevara , y al soldado ommguido D. Manuel Nieto; y á Portaguiones á D. Josef Ramón Barrera, D. Pablo Costales, D. Juaif de Mata Soberrón y D. Manuél Osores, los quatro últimos soldados distinguidos del mismo cuerpo; y.á subteni</t>
  </si>
  <si>
    <t>Nini, Joaquín</t>
  </si>
  <si>
    <t>Joaquín Nini</t>
  </si>
  <si>
    <t>ha servido conceder plazas de discípulos observadores en el real instituto militar Pestalozziano á D. Joaquín Nini, sargento 2.0 del real cuerpo de Artillería, comisionado por el gefe de la escuela del departamento de dicho cuerpo de Barcelona/con el fin de arreglar su enseñanza según ei nuevo</t>
  </si>
  <si>
    <t>Niño, Pedro</t>
  </si>
  <si>
    <t>Pedro Niño</t>
  </si>
  <si>
    <t>los anteriores y suelto en ia librería de Castillo. Varones ilustres de la marina española: vida de D. Pedro Niño, primer conde de Buelna,sacada de autores coetáneos y documentos ¡réditos por el capitán de fragata D. Josef de Vargas y Ponce, director de la real academia de la Histeria. Se hal</t>
  </si>
  <si>
    <t>Nognes y Acevedo, Francisco</t>
  </si>
  <si>
    <t>Francisco Nognes y Acevedo</t>
  </si>
  <si>
    <t>arte D. Diego Choquet, y se tiene noticia haber fallecido; y por providencia que dio en ellos el Sr D. Francisco Nognes y Acevedo, caballero pensionado de la real y distinguida orden española de Carlos m, del consejo de S. M. en el supremo de Hacienda, subdelegado general de bienes mostrencos, vacantes y abi</t>
  </si>
  <si>
    <t>Nolasco Arenas, Pedro</t>
  </si>
  <si>
    <t>Pedro Nolasco Arenas</t>
  </si>
  <si>
    <t>rancisco Somalo, Idem; á D. Ambrosio Agustini, idem: grados de alféreces de caballería y dragones á D. Pedro Nolasco Arenas, cándete del regimiento de dragones de Buenos-Ayres; á D. Ambrosio Reyna, idem ; á D* Francisco Bailuerca, sargento del propio cuerpo ; á D. Antonio Rodríguez, ídem; i D. Tomas Ru</t>
  </si>
  <si>
    <t>Nolasco Crespo, Pedro</t>
  </si>
  <si>
    <t>Pedro Nolasco Crespo</t>
  </si>
  <si>
    <t>cionales como extrangeros, la prefieren á las demas quinas conocidas. El Dr. D. Pedro Nolasco Crespo, médico de la ciudad de la Paz, en cuyas montañas, llamadas de los Yungas, nace espontáneamente la calisaya ó collisalla, como denominan en América, esto es, remedio y árbol de Peñolería,</t>
  </si>
  <si>
    <t>Nolasco de Llano, Pedro</t>
  </si>
  <si>
    <t>Pedro Nolasco de Llano</t>
  </si>
  <si>
    <t>nfinitas doctrinas del autor en los lugares en que omitió hacerlo el dicho adicionsdor: por c! Lie. D. Pedro Nolasco de Llano, abogado de la real cfranciüena de Granada y de su ilustre colegio: tercera impresión nuevamente corregida: un tomo en 4.0 Se hallará en la librería de Hurtado, calle de las Carre</t>
  </si>
  <si>
    <t>Nolasco Sánchez Moron, Pedro</t>
  </si>
  <si>
    <t>Pedro Nolasco Sánchez Moron</t>
  </si>
  <si>
    <t>idad. En la gazeta num. 104, pág. 1213, lín. 16, donde dice D. Pedro Nolasco Sánchez Morongo, léase D. Pedro Nolasco Sánchez Moron. VENTAS JUDICIALES. Por providencia de D. Francisco Gerónimo Baena, juez comisionado real ea</t>
  </si>
  <si>
    <t>Nolasco Sánchez Morongo, Pedro</t>
  </si>
  <si>
    <t>Pedro Nolasco Sánchez Morongo</t>
  </si>
  <si>
    <t>escuela de la catedral de Vailadolid, vacante por haber tomado posesión en 26 de agosto de este año D. Pedro Nolasco Sánchez Morongo de la canongía doctoral de la catedral de Toledo, á D. Manuel Josef Otero Qaevedo, canónigo de la de Orense: para la ración de la miaña catedral de Vailadolid, que asimismo obtenía el r</t>
  </si>
  <si>
    <t>dado pruebas de su inteligencia y moralidad. En la gazeta num. 104, pág. 1213, lín. 16, donde dice D. Pedro Nolasco Sánchez Morongo, léase D. Pedro Nolasco Sánchez Moron. VENTAS JUDICIALES. Por providencia de D. Francisco Gerónimo Baena, juez comisionado real ea</t>
  </si>
  <si>
    <t>Nomdedeu, Pedro</t>
  </si>
  <si>
    <t>Pedro Nomdedeu</t>
  </si>
  <si>
    <t>lo 2 ... 3. Pedro Nomdedeu..•. de Salvador ••• Altea en OrihQela......... 180-1 •• Muert. 86 ... 29. Pedro Perez ............ de Antonio ••• Bcrja .....</t>
  </si>
  <si>
    <t>Nompere de Champagny, Bautista</t>
  </si>
  <si>
    <t>Bautista Nompere de Champagny</t>
  </si>
  <si>
    <t>rado paira tratar de este negocio, á saber: „S. M. el Emperador de los franceses, Rey de Italia, „A Mr. Bautista Nompere de Champagny, gran cruz de la legión de Honor y de la orden de ia Fidelidad de Badén, y su ministro de Relaciones exteriores. ,,Y S. M. el Emperador de Austria, Rey de Hungría y de Bohemia,* ,</t>
  </si>
  <si>
    <t>Norbcrto Cordero y Vargas, Antonio</t>
  </si>
  <si>
    <t>Antonio Norbcrto Cordero y Vargas</t>
  </si>
  <si>
    <t>ez de Córdoba, que lo fue también de esta corte, pues tiene que comunicarles un asunto de intereses D. Antonio Norbcrto Cordero y Vargas, que vive en La calle de Ja Gorgnera, esquina á la de la Lechuga, núm. 19, quarto baxo. Se halla vacante la plaza de médico de la villa de Villalobos de Campos, obispado de León:</t>
  </si>
  <si>
    <t>Nordmarck</t>
  </si>
  <si>
    <t>sino valor al autor de ella. El aliiiranta^go ha accedido á la propuesta; lo que se ha comunicado á Mr. Nordmarck, catedrático de tísica en Upsal, y caballero de la Estrella polar, que es el autor de la memoria. POLONIA. ; ~ Varsovia 14, de junio. i El general Dabrowski,: restablecido ya de s</t>
  </si>
  <si>
    <t>Noriega, Benito</t>
  </si>
  <si>
    <t>Benito Noriega</t>
  </si>
  <si>
    <t>sacristía de la villa de Lumbrales, en la diócesis de Ciudad-Rodrigo, vacante por fallecimiento de D. Benito Noriega, á D. Francisco Calderón y Calvo, con la obligación de cumplir las cargas que le están impuestas. El Rey se ha servido conferir la Comandancia del tercer batallón del regimiento d</t>
  </si>
  <si>
    <t>Noriega, Juan María</t>
  </si>
  <si>
    <t>Juan María Noriega</t>
  </si>
  <si>
    <t>Antonio Gutiérrez, Doña Francisca del Castillo, Manuela Martínez, Doña Rosa de Udías y del Castro, D. Juan María Noriega, Doña María Catania Vallarina de Arenzano, D. ManueL de Ortega, D. Agustín Ximenez y D. Antonio Ccvallcs; y mediante á que sin embargo de las muchas diligencias practicadas y edic</t>
  </si>
  <si>
    <t>North, Lord</t>
  </si>
  <si>
    <t>Lord North</t>
  </si>
  <si>
    <t>ría de Matute,, calle angosta de Majaderitos, También se vende la Historia de la administración del Lord North y guerra de las Colonias hasta la paz, á 12 rs. en rustica y 15 en pasta. Método fácil y económico para limpiar los canales navegables, y las rías y puertos, especialmente del Océan</t>
  </si>
  <si>
    <t>Noslitz Jaenkensdorff</t>
  </si>
  <si>
    <t>tes, y la superintendencia de todos los establecimientos de instrucción pública, se han conferido á Mr. Noslitz Jaenkensdorff, gefe de la administración de Lasada. También se le ha nombrado director de las dos universidades de Wittemberg y Leipsick. En esta hay actualmente 900 estudiantes, y en la de Wit</t>
  </si>
  <si>
    <t>Novales, Manuel</t>
  </si>
  <si>
    <t>Manuel Novales</t>
  </si>
  <si>
    <t>temala, se ha servido el rey promover á capitán al teniente D. Domingo Viten; á teniente al alférez D. Manuel Novales ; á alférez al portaguión D. Santiago Rosi, y á esta resulta á D. Pedro Martínez Delgado , vecino de la jurisdicción del mismo cuerpo. En cumplimiento de las reales cédulas de 15</t>
  </si>
  <si>
    <t>Núñez de Haro y Peralta, Alonso</t>
  </si>
  <si>
    <t>Alonso Núñez de Haro y Peralta</t>
  </si>
  <si>
    <t>icha villa. LIBROS. Sermones escogidos, pláticas espirituales privadas y pastorales del Exorno. Sr. D. Alonso Nuñez de Haro y Peralta, virey interino, gobernador y capitán general que fue de Nueva España, caballero prelado gran cruz de la real orden española de Carlos ni, del consejo de S. M., arzobispo de Méxic</t>
  </si>
  <si>
    <t>Núñez de Haro, Ramón</t>
  </si>
  <si>
    <t>Ramón Núñez de Haro</t>
  </si>
  <si>
    <t>pada de la ciudad de Murcia y unido á la Intendencia de aquella provincia, á D» Ramón Nuñez de Haro, Ministro honorario del tribunal de la contaduría mayor: para el: Corregimiento de letras de la villa de Arévalo á D. Manuel Esteban Saenz de Buruaga: para otro igual de la ciudad de Chinch</t>
  </si>
  <si>
    <t>Núñez, Juan Nepomuceno</t>
  </si>
  <si>
    <t>Juan Nepomuceno Núñez</t>
  </si>
  <si>
    <t>ros D. Lázaro Robles; á Capitanes de fusileros á los Tenientes D. Jorge Rodríguez, D. Pablo Oligos, D. Juan Nepomuceno Nuñez y D. Silvestre Díaz Granados; á Teniente de granaderos al de fusileros D. Manuel Conde ; á Tenientes de fusileros á los Subtenientes D. Henrique Arroyüelo, D. Juan Antonio de Zayas, D</t>
  </si>
  <si>
    <t>Núñez, Pedro</t>
  </si>
  <si>
    <t>Pedro Núñez</t>
  </si>
  <si>
    <t>ones , defendido por un cuerpo de 6co hombres; D. Manuel de Arroyo, D. Josef Gabriel de la Hoyuela, D. Pedro Nuñez, D. Lúeas Vivas, y D. Tomas Castillon su segundó, á la cabeza de verdaderos patricios, me han hecho los servicios mas distinguidos, como caballería ligera, rondando las noches ent</t>
  </si>
  <si>
    <t>O-Farrill, Gonzalo</t>
  </si>
  <si>
    <t>Gonzalo O-Farrill</t>
  </si>
  <si>
    <t>- ó á la viuda ó hijos de menor edad de los que mueran dignamente.en el campo del honor, , ~ El Sr. D, Gonzalo O-Farrill, 'gefe de, aquellas tropas, que en nombre de sus individuos ha dado parte al mencionado Serenísimo Señor de esta oferta, añade que todos han convenido en suplicar á S. A. disponga</t>
  </si>
  <si>
    <t>O-Neille, Henrique</t>
  </si>
  <si>
    <t>Henrique O-Neille</t>
  </si>
  <si>
    <t>cio y D. Miguel Carballo, y de fusileros á los subtenientes D. Manuel Martínez Malo, de granaderos, D. Henrique O-Neille , D. Juan de Bustos, D. Josef Víctor Salcedo, D. Josef del Rox, D. Luis Antonio Merlano y D. Manuel de Medina.; á subtenientes de granaderos á los de fusileros D. Josef Angel Vela</t>
  </si>
  <si>
    <t>O-Reilly, Carlos</t>
  </si>
  <si>
    <t>Carlos O-Reilly</t>
  </si>
  <si>
    <t>primero, D. Josef Viedma el segundo. En la de poética y retórica , del cargo de D. Demetrio Ortiz, D. Cárlos O-Reilly el primero y único premio. En la</t>
  </si>
  <si>
    <t>Obando, Pedro</t>
  </si>
  <si>
    <t>Pedro Obando</t>
  </si>
  <si>
    <t>. r ' D. Alexandro de Amírola, vecino de esta corte, ¡remitió el ig de mayo último, con clibieíta á D. Pedro Obando y D. Josef Manuel González, de Salamanca, testamentarios de D. Manuel Zahonero, dos acciones, de 240 millones, canceladas en i.° de enero de este año, núms. 20890 y 20932, con dos rec</t>
  </si>
  <si>
    <t>Obiols, Francisco</t>
  </si>
  <si>
    <t>Francisco Obiols</t>
  </si>
  <si>
    <t>^w-de laxatadral &lt;ieTeroer;4acaflft por fallecimiento $é‘í);‘Melchbr Angel Crespo: á D. Francisco Obiols para una ración ó comensabá, afecta' á voz de tenor j-de-la catedral de Tortosa, vacante por promocfefi de"í7Sb Tomas Burgués' á otra libre de la misma catedral: á D. Jayme Carbon</t>
  </si>
  <si>
    <t>Obregon, Andrés</t>
  </si>
  <si>
    <t>Andrés Obregon</t>
  </si>
  <si>
    <t>encio de Castilla; á alféreces i los portaestandartes*D. Hilario García Tejada * D. Jtian Pesquera, D. Andrés Obregon y D. Antonio Velásco y Pérez* Gatvez* y a portaestandartes al cadete D. Josef Apolinario Quixano y í&gt;. Pedro Ruiz de Otaño, vecino de la demarcación del regimiento. Asimismo se ha ser</t>
  </si>
  <si>
    <t>Ochoa, Félix</t>
  </si>
  <si>
    <t>Félix Ochoa</t>
  </si>
  <si>
    <t>gimiento provincial de Chinchilla, por remoción del de este cuerpo al de la misma clase de Lorca, á D. Félix Ochoa, capitán del regimiento de infantería de León. • En el regimiento de caballería de la Reyna se ha servido el rey conceder tenencia al alférez D. Juan de Fuentes; y en el de Montes</t>
  </si>
  <si>
    <t>Octavio de Toledo, Francisco</t>
  </si>
  <si>
    <t>Francisco Octavio de Toledo</t>
  </si>
  <si>
    <t>ey se ha servido conceder en ei regimiento de infantería de Africa subtenencia de bandera al cadete D. Francisco Octavio de Toledo; y en el de Valencia compañía al teniente, graduado de capitán, D. Manuel de Ley va. TT ^1 Sermo. Sr. Príncipe de la Paz, Generalísimo Almirantease ha servido conceder plazas de d</t>
  </si>
  <si>
    <t>Octon y Heredia, Felipe</t>
  </si>
  <si>
    <t>Felipe Octon y Heredia</t>
  </si>
  <si>
    <t>o para la oposición al Magisterio de capilla de la Catedral de Málaga se. publicó baxo el nombre de D. Felipe Octon y Heredia á solicitud de D. Pablo Blasco,: Presbítero, Tiple de la Real Capilla; por D. Joaquín Murgüía, Prebendado, Organista: de dicha Catedral, autor de los Puntos ; papel en 8.® marquil</t>
  </si>
  <si>
    <t>Odonojú, Tomás</t>
  </si>
  <si>
    <t>Tomás Odonojú</t>
  </si>
  <si>
    <t>cerla acuda ante dicho Señor, por la escribanía dé D. Juan Antonio Díaz Noriega. Por providencia de D. Tomas Odonojú, Comisionado Regio’ para la venta debienes de obras pias en el Obispado dé Santander,, se han mandado sacar á pública subasta, por término de 30 dias contados- desde el 3. del cor</t>
  </si>
  <si>
    <t>Ogavan, Juan Bernardo</t>
  </si>
  <si>
    <t>Juan Bernardo Ogavan</t>
  </si>
  <si>
    <t>Pestalozzi, y han comisionado expresamente para que venga á España á enterarse de él al presbítero D. Juan Bernardo Ogavan, secretario de la sociedad. S. A. S. no podía desatender tan laudables miras, y se ha servido nombrar discípulo observador del real instituto militar pestalozziano al referido Oga</t>
  </si>
  <si>
    <t>Olaguer Desvalls</t>
  </si>
  <si>
    <t>miento de caballería del Príncipe se ha servido S. M. conceder empleo de alférez al portaestandarte D. Olaguer Desvalls: en el de Montesa compañía al ayudante, graduado de capitán, D. Josef de Campos; y empleo de portaestandarte al cadete D. Josaf Astraudi. También se ha servido el rey conferir com</t>
  </si>
  <si>
    <t>Olaguer Feiiu, Antonio</t>
  </si>
  <si>
    <t>Antonio Olaguer Feiiu</t>
  </si>
  <si>
    <t>anda. El Rey se ha dignado promover á teniente general de sus exércitos al mariscal de campo el Sr. D. Antonio Olaguer Feiiu, secretario de Estado y del despacho de la Guerra. El Rey se ha servido conferir el empleo de coronel del regimiento de infantería del Príncipe al coronel D. Francisco Blanco, ten</t>
  </si>
  <si>
    <t>Olaguer Feliu, Antonio</t>
  </si>
  <si>
    <t>Antonio Olaguer Feliu</t>
  </si>
  <si>
    <t>r á mi real persona , que ha acreditado constantemente el mariscal de campo de mis reales exércitos D. Antonio Olaguer Feliu, he venido en nombrarle mi secretario de Estado y del despacho de Guerra. Tendreisio entendido, y lo comunicareis á quien corresponda.” S. M. se ha servido conceder en el regimien</t>
  </si>
  <si>
    <t>u cumdimiento.rr Señalado de la real mano de S. M. ~ En San Lorenzo á 7 de diciembre de 1807. = A’- D. Antonio Olaguer Feliu.” S, M. se ha setvido conceder en el regimiento de infantería de Asturias subtenencia de bandera al cadete D. Josef María Uriarte. El Rey se ha servido conferir compañía en el reg</t>
  </si>
  <si>
    <t>Olaguer Feliúr, Antonio</t>
  </si>
  <si>
    <t>Antonio Olaguer Feliúr</t>
  </si>
  <si>
    <t>, y la ctra de las tropas ligeras, se ha servido S. M. nombrar para la primera al mariscal de campo D. Antonio Olaguer Feliúr y para la segunda al mariscal de campo D. Joscf.Joaquín Marti. Igualmente ha nombrado S. M. por inspector general de la caballería de línea, a! mariscal de campo D. Be Dito San Juan</t>
  </si>
  <si>
    <t>Olarte, Ignacio</t>
  </si>
  <si>
    <t>Ignacio Olarte</t>
  </si>
  <si>
    <t>Tenientes á los Alféreces D. Nicolás Carrillo y Juan Manuel Zorsona; á Alféreces á ios Portaguiones D. Ignacio Olarte y D. Juan Manuel Cabello; y á Portaguiones ¿ los vecinos de Ja demarcación del misino Cuerpo D. Vicente Fernandez Rondero y D. Francisco Alvarez. v Atendiendo S. M. á los distinguidos</t>
  </si>
  <si>
    <t>Olazabal, Felipe</t>
  </si>
  <si>
    <t>Felipe Olazabal</t>
  </si>
  <si>
    <t>rgento mayor del regimiento de milicias disciplinadas de infantería de Arequipa al teniente coronel D. Felipe Olazabal, capitán de granaderos del mismo cuerpo. En las dos compañías de milicias disciplinadas de infantería de Loxa en el reyno de Sta. Fe se ha servido S. M. promover á capitán al teni</t>
  </si>
  <si>
    <t>Oligos, Pablo</t>
  </si>
  <si>
    <t>Pablo Oligos</t>
  </si>
  <si>
    <t>eros al de fusileros D. Lázaro Robles; á Capitanes de fusileros á los Tenientes D. Jorge Rodríguez, D. Pablo Oligos, D. Juan Nepomuceno Nuñez y D. Silvestre Díaz Granados; á Teniente de granaderos al de fusileros D. Manuel Conde ; á Tenientes de fusileros á los Subtenientes D. Henrique Arroyüel</t>
  </si>
  <si>
    <t>Oniiin, Domingo</t>
  </si>
  <si>
    <t>Domingo Oniiin</t>
  </si>
  <si>
    <t>de granaderos al de fusileros D. Alberto Fee; á teniente de fusileros al subteniente de granaderos D. Domingo Oniiin; á subteniente de granaderos al de fusileros D. Juan Hellerbach, y ¿ subteniente de fusileros al cadete D. Andrés Cristian Riedy. En consideración á los buenos servicios de D. Joa</t>
  </si>
  <si>
    <t>Ontanar, Juan</t>
  </si>
  <si>
    <t>Juan Ontanar</t>
  </si>
  <si>
    <t>dartes á ios cadetes D. Pedro Fuenmayory D. Gabriel del Rio; y en el de Montesa tenencia al alférez D. Juan Ontanar. También se ha servido el rey conferir el regimiento de dragones de Almansa al coronel D. Juan Caballero, teniente coronel del de Pavía. En América. El rey se ha servido nombrar p</t>
  </si>
  <si>
    <t>Oosterdyck</t>
  </si>
  <si>
    <t>n en es casos, á Mr. Speyert-van-der-Eyck, nombrado rector para los doce meses siguientes por S. M. Mr. Oosterdyck prenunció un diícurso latino, en que deploró la pérdida que había experimentado la universidad por la muerte de dos de sus mas acreditados profesores Mrs. Kluit y Luzac en el desa</t>
  </si>
  <si>
    <t>Or, Alexo (conde)</t>
  </si>
  <si>
    <t>Conde Alexo Or</t>
  </si>
  <si>
    <t>ta armar la hobleza polaca de Lituania, la de Volhínia y la de Ukrania. El Príncipe Bedborodko y el Conde Alexo Or— loff son los Generales nombrados para mandar la nobleza. Esta novedad ha causado mucho descontento, y han arrestado á muchos nobles polacos, yá losd.emas se les ha amenazado con</t>
  </si>
  <si>
    <t>Oras, Juan</t>
  </si>
  <si>
    <t>Juan Oras</t>
  </si>
  <si>
    <t>cho comisionado, residente en la ciudad de Lérida, y escribanía de su gobierno, que está á cargo de D. Juan Oras. Por providencia de D. Juan López de Vinuesa, comisionado regio para la venta de bienes eclesiásticos de la diócesi de Coria, se han mandado sacar á pública subasta, por término d</t>
  </si>
  <si>
    <t>Ordoñez Aguilar, Ramón</t>
  </si>
  <si>
    <t>Ramón Ordoñez Aguilar</t>
  </si>
  <si>
    <t>a catedral de Chiapa, en el reyno de Goatémala, vacante por fallecimiento de 1&gt;./Mariano1'Chacón, a D. Ramón Ordoñez Aguilar; y para una me diaratíron. de la de Ptiéb!^ de loé Angeles, vacante asimismo por muerte de D. Manuel déiCástrllbV a D. Josef Demetrio Moreno ,cpra en este obispado. . A'’%rd^uest'</t>
  </si>
  <si>
    <t>Ordoñez, Francisco</t>
  </si>
  <si>
    <t>Francisco Ordoñez</t>
  </si>
  <si>
    <t>idad de chantre de la catedral de Orense, vacante por fallecimiento de D. Francisco Soiís y Lein, i D. Francisco Ordoñez, canónigo de la misma iglesia: para esta resulta á D. Jacinto Nicolás Taboada: para .la canongía cardenalicia de la misma catedral de Orense, vacante por muerte de dicho D. Franci</t>
  </si>
  <si>
    <t>Oreamuno, Salvador</t>
  </si>
  <si>
    <t>Salvador Oreamuno</t>
  </si>
  <si>
    <t>de Olancho al capitán D. Josef Tomas Gameros; á capitán en el de Cartago al teniente de granaderos D. Salvador Oreamuno, á esta resulta al de fusileros D. Lorenzo Carazo; á tenientes de fusileros á los subtenientes D. Manuel S-aenz y D. Matías Sandoval, y á subtenientes de fusileros á D. Joaquín Pr</t>
  </si>
  <si>
    <t>Orihuela, Manuel</t>
  </si>
  <si>
    <t>Manuel Orihuela</t>
  </si>
  <si>
    <t>ana, D. Juan Alegría, D. Angel Mariano Ramírez y D. Martin de Concha; y á Portaestandarte al Cadete D. Manuel Orihuela. En el Regimiento Provincial de dragones de Mechoacan, en el Reyno de Nueva-España, se ha servido S. M. promover á Tenientes á los Alféreces D. Nicolás Carrillo y Juan Manuel Zors</t>
  </si>
  <si>
    <t>Oríiz, Tomás</t>
  </si>
  <si>
    <t>Tomás Oríiz</t>
  </si>
  <si>
    <t>iera persona que tuviese noticia de Ja existencia, exercicio y habitación de Jarme .T-orri jos y de D. Tomas Oríiz, vecinos ó residentes en esta corte, acuda á darla á la escribanía de D. Manuel López de Rivas para requerirles al pago ó protesto de'unas letras de cambio qüe cumplen en 20 y 24</t>
  </si>
  <si>
    <t>Orly</t>
  </si>
  <si>
    <t>plenipotenciario cerca del Rey de Saxonia. El coronel Berger lleva el mismo destino á Wurtemberg, y Mr. Orly á Suiza. Una carta escrita por el -Emperador dé Rusia al general Gudowitch, gobernador de Astracán, y comandante civil de los gobiernos de Astracán, del Cáucaso y de la Georgia, c</t>
  </si>
  <si>
    <t>Orózco, Andrés</t>
  </si>
  <si>
    <t>Andrés Orózco</t>
  </si>
  <si>
    <t>z D. Josef Agustín Manso; y en el de Húsares Españoles empleo de sargento mayor al teniente coronel D. Andrés Orózco, capitán del mismo cuerpo. En el real cuerpo de ingenieros del exército ha promovido S. M. á ca«</t>
  </si>
  <si>
    <t>Ortega, Francisco</t>
  </si>
  <si>
    <t>Francisco Ortega</t>
  </si>
  <si>
    <t>lbas, pertenecientes á D. Antonio Montero de Espinosa , de 3500 y 4© ducados, impuestos a nombre de D. Francisco Ortega y D. Francisco Montero de Espinosa ; á fin-He que dentro de 1 meses precisos acudan al expresado supremo consejo ¿ 'por su escribanía de cámara, á deducir sus acciones; en la intelige</t>
  </si>
  <si>
    <t>Ortega, Manuel</t>
  </si>
  <si>
    <t>Manuel Ortega</t>
  </si>
  <si>
    <t>cción de la villa de Agreda, diócesi de Tarazona, vacante por fallecimiento de D. Ignacio Cerezo, á D. Manuel Ortega, presbítero, con calidad de residencia personal: para el empleo de confesor del real y primer monasterio de la Visitación de Madrid, vacante por promoción de D. Manuel Rodríguez M</t>
  </si>
  <si>
    <t>Ortega, Vicente</t>
  </si>
  <si>
    <t>Vicente Ortega</t>
  </si>
  <si>
    <t>ancisco G‘ mez: tenencias veteranas en las compañías de milicias de Chontales y S. Pedro de Usala á D. Vicente Ortega y D. Vicente Ibañez; y las subtenencias que estos dexan á los sargentos primeros veteranos D. Antonio Aglie/ía y D. Ignacio Texer. El dia i.a de octubre próximo se abrirá el curso de</t>
  </si>
  <si>
    <t>Ortiz de Basualao, Manuel</t>
  </si>
  <si>
    <t>Manuel Ortiz de Basualao</t>
  </si>
  <si>
    <t>ligro qué le rodeaba, de que advertí va i as veces al alcalde de primer voto D. Martin de Alzaga, á D. Manuel Ortiz de Basualao, fiel executor, y al regidor D. Miguel de Agüero, particularmente en ocasión en que al primero le cayó una bala á los pies. El fiscal de lo civil el Sr. D. Manuel Genaro de Villot</t>
  </si>
  <si>
    <t>Ortiz de Zarate, Juan</t>
  </si>
  <si>
    <t>Juan Ortiz de Zarate</t>
  </si>
  <si>
    <t>aballeros seminarista mayor D. Manuel Fernandez, gefe de sala D. Manuel de la Cámara, y seminarista D. Juan Ortiz de Zarate, D. Manuel Entreambasaguas, de la misma clase; gtfes de trozo D. J6*5ef Alaría Esquivel, teniente del regimiento de milicias provinciales de Soria, D. Josef Fernandez y D. Sebasti</t>
  </si>
  <si>
    <t>Ortiz, Gregorio</t>
  </si>
  <si>
    <t>Gregorio Ortiz</t>
  </si>
  <si>
    <t>supiere de su paradero avisará en Madrid al expresado Fernandez, red de S.Luis, ó en dicha ciudad á D. Gregorio Ortiz, que vive en la plazuela vieja, núm. 14. Quien quisiere tomar á su cargo por obligación el empedrado de las calles de Madrid, cada una según la clase en que hoy se halla de parale</t>
  </si>
  <si>
    <t>Ortiz, Pablo</t>
  </si>
  <si>
    <t>Pablo Ortiz</t>
  </si>
  <si>
    <t>no se verificará sino pasado un mes de haberse publicado este aviso. Se desea saber el paradero de D. Pablo Ortiz, maestre de víveres que fue de la real armada, para que la persona que lo supiere lo comunique á D. Ignacio Moríais, procurador del número de Cartagena de levante, mediante á habe</t>
  </si>
  <si>
    <t>Orue, Domingo</t>
  </si>
  <si>
    <t>Domingo Orue</t>
  </si>
  <si>
    <t>as casas capitulares por tres noches, encargando la execucion de estas fiestas al alcalde ordinario D. Domingo Orue.—Se convidó al regente y ministros de la real audiencia, al deán, gobernador, provisor y vicario general del arzobispado, al real tribunal del consulado y al de minería, á los rec</t>
  </si>
  <si>
    <t>Ostermaaa Tolstoy, General</t>
  </si>
  <si>
    <t>General Ostermaaa Tolstoy</t>
  </si>
  <si>
    <t>Baggouwot, que se defendió con tesón has?ta que le envié- 3 batallones de la reserva, y después al General Ostermaaa Tolstoy con otros 3 batallones, de cuyas resultas quedó totalmente rota el ala derecha del enemigo. Su segundo ataque, igualmente vigorosose dirigía hácia mi flanco derecho,, donde estaba</t>
  </si>
  <si>
    <t>Ostoloza, Blas</t>
  </si>
  <si>
    <t>Blas Ostoloza</t>
  </si>
  <si>
    <t>nes, teniente coronel de milicias; D. JuanAlmeyda; D. Manuel García Várela; D. Manuel Malo y Reyes; D. Blas Ostoloza, doctor en teología y cánones; D. Domingo Parrondo y Ortiz, y D. Francisco Pió Guzman, maestros de primeras letras. En la extracción de la real lotería, executada ei mártes 14 del</t>
  </si>
  <si>
    <t>Osuna, Francisco Xavier</t>
  </si>
  <si>
    <t>Francisco Xavier Osuna</t>
  </si>
  <si>
    <t>M. se ha servido conferir el empleo de teniente de Rei de la plaza de Valencia al teniente coronel D. Francisco Xavier Osuna, habiéndose dignado S. M. concederle al propio tiempo el grado de coronel de infantería. En la extracción de la real lotería, executada el martes 22 del corriente, salieron los nú</t>
  </si>
  <si>
    <t>Otal y Palacio, Francisco Xavier</t>
  </si>
  <si>
    <t>Francisco Xavier Otal y Palacio</t>
  </si>
  <si>
    <t>Vera y Pajaza. El Rey se ha servido nombrar para la vara de alcalde mayor de la ciudad de Daroca á D. Francisco Xavier Otal y Palacio; y para la de Palma, capital del reyno de Mallorca, á D. Ignacio Pablo Sandino. El Rey se ha servido conceder los honores de comisario ordenador de sus exércitos á D. Ramón Gonzál</t>
  </si>
  <si>
    <t>Otondo, Rafael</t>
  </si>
  <si>
    <t>Rafael Otondo</t>
  </si>
  <si>
    <t>illa , y esta resulta al portaguión D. Luis Gorrichategui; y en el de Lusitania tenencia al alférez D. Rafael Otondo. Con fecha de 25 de setiembre de 1807 se ha librado Real facultad á la ciudad de Almería para que en cada un año pueda celebrar una feria desde el dia 22 ai 26 inclusive del mes d</t>
  </si>
  <si>
    <t>Otonel, Miguel</t>
  </si>
  <si>
    <t>Miguel Otonel</t>
  </si>
  <si>
    <t>quisiere hacer postura á dicha finca acuda ante el expresado juez comisionado, por la escribanía de D. Miguel Otonel. A las tres dehesas de pasto y labor intituladas de Montalvanejos, Ablates y Ablatejos, de caber 6889 fanegas, sitas en jurisdicción de Toledo, y apreciadas, con todos sus aprovec</t>
  </si>
  <si>
    <t>Oubril</t>
  </si>
  <si>
    <t>idades de la guerra. ,,La Inglaterra negocio por sí sola con la Francia algún tiempo,que fué quando Mr. Oubril firmó el ajuste separado y particular de la Rusia. Pero desde que se negó á ratificarlo la corte de Petersburgo, nos unimos con esta para seguir las negociaciones. ,,La guerra que</t>
  </si>
  <si>
    <t>Oudinot, General</t>
  </si>
  <si>
    <t>General Oudinot</t>
  </si>
  <si>
    <t>Stettin: su izquierda en Rostoek, y su quartel general en Anklam._Los granaderos de la reserva del General Oudinot van llegando á Custrin.__ En Berlin va entrando la división de coraceros nuevamente formada, baxo el mando del General Spagne..__ La división Italiana del General Lecchi se reunía en.</t>
  </si>
  <si>
    <t>sy. Se atribuye esta retirada a los acontecimientos de Polonia. PRUSIA. Berlín 2 y de Diciembre. El General Oudinot salió el 23 de esta ciudad para el quartel general Imperial. Ll Deque de Saxonia-Weymar marchará pronto á Varsovia. La familia Real de Pruua ^ia ido á Memel; y se asegura que ha m</t>
  </si>
  <si>
    <t>eras hácia la Prusia oriental hasta Johannsburg , las que se comunican por Kolno con Ostrolenka. El General Oudinot está con sus granaderos en Posen; las tropas que entre esta ciudad y el Vístula se han acantonado en losparages que se hallan, y las que se dirigen de Custrin hácia Posen toman igua</t>
  </si>
  <si>
    <t>permitáis que el enemigo robe el fruto de vuestros sudores.” Parece que el cuerpo de granaderos del General Oudinot no permanecerá mucho, tiempo en esta ciudad, pues algunas divisiones de él marchan, i Yarsovia.. ALEMANIA. Augsburgo i*0 de febrera*. Escriben de Trieste que hace 15 dias. que aqu</t>
  </si>
  <si>
    <t>Oyando y Texeyro, Miguel</t>
  </si>
  <si>
    <t>Miguel Oyando y Texeyro</t>
  </si>
  <si>
    <t>l mismo de la Princesa al cadete D.-Hipólito López de Angulo, y en el de voluntarios de la Corona á D. Miguel Oyando y Texeyro, teniente que fue del provincial de Pontevedra. El Rey ha conferido compañía en el regimiento de caballería del Infante á D. Juan Massia, cadete de la compañía Flamenca de reales</t>
  </si>
  <si>
    <t>Pacheco, Andrés</t>
  </si>
  <si>
    <t>Andrés Pacheco</t>
  </si>
  <si>
    <t>M. al conde de Haro, grande de España; á D. Josef Pacheco, coronel al servicio de S. M. católica; á D. Andrés Pacheco, todos tres hijos del Excmo. Sr. Duque de Frías; y á Mr. de Fita, caballero de embaxada. Escriben de Turin que el 2 del corriente llegó el cardenal Bayanne á aquella ciudad, de do</t>
  </si>
  <si>
    <t>Pacheco, Domingo</t>
  </si>
  <si>
    <t>Domingo Pacheco</t>
  </si>
  <si>
    <t>allosa, en 50,850 rs. Quien quisiere hacer postura acuda 4 la escribanía de ia comisión, que exerce D. Domingo Pacheco. Por providencia de D. Hermenegildo Fernandez de Burunda, comisionado subalterno para la venta de bienes eclesiásticos en el ducado de Escalona y ©tros pueblos de la intendencia d</t>
  </si>
  <si>
    <t>Pacheco, Pedro Alonso</t>
  </si>
  <si>
    <t>Pedro Alonso Pacheco</t>
  </si>
  <si>
    <t>tasado todo en 55,468 rs. Quien quisiere hacer postura acuda ante dicho señor, por la escribanía de D. Pedro Alonso Pacheco; previniéndose estar señalado el 14 del presente para su remate. • Por providencia de D. Manuel Angel Carrancio, comisionado real para la venta de bienes eclesiásticos comprehendi</t>
  </si>
  <si>
    <t>Pacheco, Ramón</t>
  </si>
  <si>
    <t>Ramón Pacheco</t>
  </si>
  <si>
    <t>der ¿subtenencias de bandera en el regimiento de infantería de la Reyna al cadete del fixo de Ceuta D. Ramón Pacheco: en el de Córdoba al cadete del mismo cuerpo D. Josef de Vargas : en el de Búrgos al sargento primero de granaderos D. Francisco de Cárdenas: en el de voluntarios de Estado al cad</t>
  </si>
  <si>
    <t>Padilla y Arcos, Pedro</t>
  </si>
  <si>
    <t>Pedro Padilla y Arcos</t>
  </si>
  <si>
    <t>so militar de matemáticas sobre las partes de esta ciencia pertenecientes al arte de la guerra, por D. Pedro Padilla y Arcos, capitán del real cuerpo de Ingenieros del exército, reimpreso y corregido de órden del Serenísimo Señor Príncipe Generalísimo Almirante para la enseñanza de las academias militar</t>
  </si>
  <si>
    <t>Padura, Manuel Antonio</t>
  </si>
  <si>
    <t>Manuel Antonio Padura</t>
  </si>
  <si>
    <t>o á las ti en punto, y continuándose desde las 5 de la tarde, á las 6 menos quarto cupo la suerte á Don Manuel Antonio Padura, vecino y del comercio de la ciudad dé Alcalá dé Henares; lo que se avisa para noticia del interesado, y satisfacción del público. Delde la mas remota antigüedad han sido célebres</t>
  </si>
  <si>
    <t>la gazeta anterior, núm. $3, ful. 634, líneas 39 y 40» donde dice al Doctor D. Manuel Antonio Padura, vecino de la ciudad de Alcalá de Henares, omítase al Doctor, y léase vecino y del comercio» NUEVOS DESCUBRIMIENTOS EN EL MAR DEL SUR. La dirección de hidrografía acaba de recibir la sigu</t>
  </si>
  <si>
    <t>rid se ha interesado en la suerte de las alhajas de plata rifadas el día 15 de este mes, qáe^cupo á D. Manuel Antonio Padura, vecino y del comercio de la éíudad^áe Alcalá de Henares, ofrece hoy otra ocasión de manifestar su beñeficefrrcii á las personas que deseen interesarse en esta segunda rifa. Se ri</t>
  </si>
  <si>
    <t>Pagés, Miguel</t>
  </si>
  <si>
    <t>Miguel Pagés</t>
  </si>
  <si>
    <t>á pafa otro beneficio de la parroquia de Cardedeu, obispado de Barcelona , vacante por promoción de D. Miguel Pagés á una capellanía de Santa María dél Mar de la ciudad de Barcelona. S. M. se ha servido nombrar para la plaza de fiscal togado del supremo consejo de la Guerra I D. Joaquín Soteló,</t>
  </si>
  <si>
    <t>Paget</t>
  </si>
  <si>
    <t>ucta de su embajador Arbuthant y la del almirante Duckworth , y anuncia que envía por embaxá- dor á Mr. Paget. Luego que se abrieron dichos pliegos se juntó el divan en casa del rnufti, y se ha determinado no recibir al embaxador ingles, ni escuchar propasicLm*alguna hasta que evacúen el</t>
  </si>
  <si>
    <t>ngles no han tenido electo alguno. El divan ha desechado con desprecio las proposiciones hechas por Mr. Paget á nombre de su gobierno, y la esquadra inglesa no se ha atrevido á intentar otra vez el paso de los Dardanelos. CIUDADES ANSEATICAS. Hamburgo 1% de setiembre. Según las noticias d</t>
  </si>
  <si>
    <t>Pagét, General</t>
  </si>
  <si>
    <t>General Pagét</t>
  </si>
  <si>
    <t>on 28 almacenes. Este accidéntenlo ocasionó el descuido de una negra.: La expedición mandada por el General Pagét^páSo 'él 1.® de Noviení-^ bre el estrecho de Gibraltar. (Abeja del Norte.)</t>
  </si>
  <si>
    <t>Palacio, Joaquín</t>
  </si>
  <si>
    <t>Joaquín Palacio</t>
  </si>
  <si>
    <t>os; á ayudante mayor al teniente D. Lorenzo Escudero ; á tenientes de granaderos á los de fusileros D. Joaquín Palacio y D. Miguel Carballo, y de fusileros á los subtenientes D. Manuel Martínez Malo, de granaderos, D. Henrique O-Neille , D. Juan de Bustos, D. Josef Víctor Salcedo, D. Josef del Rox, D.</t>
  </si>
  <si>
    <t>Palacio, Marcos</t>
  </si>
  <si>
    <t>Marcos Palacio</t>
  </si>
  <si>
    <t>o de Grau;, que preparó con mascabado todos los xarabes de su botica, y le salieron muy especiales. D. Marcos Palacio,</t>
  </si>
  <si>
    <t>Palacios, Ángel</t>
  </si>
  <si>
    <t>Ángel Palacios</t>
  </si>
  <si>
    <t>das de infantería de Loxa en el reyno de Sta. Fe se ha servido S. M. promover á capitán al teniente D. Angel Palacios; á teniente al subteniente D. Lorenzo María Lequericá y Riofrio, y á subteniente á D. Francisco Escudero y Carrion, vecino de la jurisdicción de las mismas compañías. En conseqüen</t>
  </si>
  <si>
    <t>Palacios, Manuel Antonio</t>
  </si>
  <si>
    <t>Manuel Antonio Palacios</t>
  </si>
  <si>
    <t>practicará por la escribanía de la comisión, que, desempeña D. Mariano de Zayas. Por providencia de D. Manuel Antonio Palacios, corregidor de la ciudad de Víllena, é interino de la villa de Requena, provincia de Cuenca, subdelegado para la venta de bienes eclesiástico^ de ella y su jurisdicción, se ha man</t>
  </si>
  <si>
    <t>Palet, Fulgencio</t>
  </si>
  <si>
    <t>Fulgencio Palet</t>
  </si>
  <si>
    <t>ente ha condescendido S. A. á los mismos deseos de la de Mallorca, nombrando á su comisionado el P. D. Fulgencio Palet, clérigo reglar de S. Cayetano, discípulo observador del instituto matriiense. S. M., á consulta de su real junta general de Comercio, moneda y micas se ha dignado conceder privil</t>
  </si>
  <si>
    <t>Pallas</t>
  </si>
  <si>
    <t>inistros Ingleses Pit y Fox , los Almirantes G aviad y Vüleneuve, los Médicos Barthez y Fouquet, el Profesor Pallas, Mrs. Coulomb, Brisson y Adansonj Fysicos ó Natura-iis-tas, el Senador Tronchet, Mr. Mounier, Schiller, autor Alemán, y Mrs. Gaillard, Collin d’Harieyille, Anquetil y Retif de la</t>
  </si>
  <si>
    <t>Palmes, Francisco</t>
  </si>
  <si>
    <t>Francisco Palmes</t>
  </si>
  <si>
    <t>ara los de capitanes de las compañías fixas de artilleros veteranos del departamento de la Havana á D. Francisco Palmes, D. Jr-s'ef Cabrera y D. Ignacio Salens /capitanes segundos de las mismas: para ios de capitanes de las compañías fixa-s de artilleros veteranos del departamento de Lima á D. Juan</t>
  </si>
  <si>
    <t>Panigo, Benito</t>
  </si>
  <si>
    <t>Benito Panigo</t>
  </si>
  <si>
    <t>de capitán, D. Ensebio de Villa: ayudantía al teniente de granaderos &gt; graduado también de capitán, Don Benito Panigo* tenencias á los subtenientes D. Josef de Pardo y Cela y D. Joaquín Signes, y al capitán de milicias del provincial de Valladolid D. Jacobo Blanco; y subtenencias de bandera al sa</t>
  </si>
  <si>
    <t>Pantaleon Encinas</t>
  </si>
  <si>
    <t>Quien quisiere hacer postura á qualquiera de dichas dos mitades, lo éxecutará por la escribanía de D. Pantaleon Encinas; en inteligencia de estar señalado' el dia 3 del inmediato mes de Junio para su remate. Por providencia de D. Francisco Gerónimo Baena, comisionado regio para la ' r » &lt; (4) El gr</t>
  </si>
  <si>
    <t>Panto, Fernando María</t>
  </si>
  <si>
    <t>Fernando María Panto</t>
  </si>
  <si>
    <t>mat para el Beneficio residencial de la, villa de Valí, en la diócesis de Tarragona; como también á D. Fernando María Panto ja, del orden de Alcántara y Capellán de honor, para el Préstamo del lugar de Ateca, de la diócesis ae Tarazona. S. M. se ha servido nombrar á D. Santiago Jasso para un Beneficio</t>
  </si>
  <si>
    <t>Pantoja, Carlos</t>
  </si>
  <si>
    <t>Carlos Pantoja</t>
  </si>
  <si>
    <t>S. M. se ha servido nombrar para una canongía de la catedral de León, vacante por fallecimiento de D. Carlos Pantoja, á D. Josef María Sani, canónigo de la colegiata de S. Ildefonso: para una media ración de la catedral de Salamanca, vacante por muerte de D. Josef Domínguez, i D. Miguel Martel,</t>
  </si>
  <si>
    <t>Pantoja, Fernando María</t>
  </si>
  <si>
    <t>Fernando María Pantoja</t>
  </si>
  <si>
    <t>Torredefrades, en él obispado de Zamora, vacante por haber contraído matrimonio D. Dámaso Calvo, á D. Fernando María Pantoja, del orden de Alcántara,. capellán de honor de la real capilla; y para la prestamera del lugar de Belmontejo, anexo de la villa c iglesia de S. Lorenzo de la Parrilla&gt; en la misma</t>
  </si>
  <si>
    <t>Papeti, Tomás</t>
  </si>
  <si>
    <t>Tomás Papeti</t>
  </si>
  <si>
    <t>anía de D. Melchor Nicolás Truxillo , penden autos de concurso de acreedores, á la testamentaría de D. Tomas Papeti, en los quales se ha dado providencia mandando emplazar á qualcsquiera que se estime con derecho á la masa de dicho concurso, para que comparezca en él á deducirlo, con los. docum</t>
  </si>
  <si>
    <t>Pardo</t>
  </si>
  <si>
    <t>conseguido realizar estos saludables establecimientos en los pueblos siguientes.-—En los de Villar D. Pardo, Tcrres, Guardia, Huelma y Valdepeñas, corregimiento de Jaén, mediante el zelo y actividad de las justicias, y la liberalidad del limo. Sr. Obl po de aquella diócesi, que en el úl</t>
  </si>
  <si>
    <t>Pare, Francisco</t>
  </si>
  <si>
    <t>Francisco Pare</t>
  </si>
  <si>
    <t>fragata 1 los alféreces, de, navio D.) Manuel de la Iglesia, D. Benito ¡Correa, Di Bruna Es candon,D. Francisco Pare ja, D. Joref de Miranda, D. Domingo Allende y D. Joaquín Toledo t d alféreces de navio á los de fragata D. Juan Fernandez Vedra, D. Jacinto Butler y D. Federico Lacosse : d alfére</t>
  </si>
  <si>
    <t>Paredes, Juan Francisco</t>
  </si>
  <si>
    <t>Juan Francisco Paredes</t>
  </si>
  <si>
    <t>rir snbtenencia dé bandera en el regimiento de. infanteríade Puebla^péíííeí féynode Nueva-España, á Don Juan Francisco Paredes , soldado distinguido del de Saboya; y á D. Benigno Morales,^subteniente de granaderos dél regimiento de infantería de NuevaEspaña, la tenencia de la segunda compañía franca de vo</t>
  </si>
  <si>
    <t>Paredes, Juan Nepomuceno</t>
  </si>
  <si>
    <t>Juan Nepomuceno Paredes</t>
  </si>
  <si>
    <t>II Don Juan Fromista, y á Subtenientes de bandera á los Cadetes D. Juan Nepomuceno Paredes y D. Josef María Matos. En el Regimiento de Milicias disciplinadas de infantería de Sta. Marta se ha servido S. M. promover á Teniente Coronel al Capitán D. Rafael de Zúñjga; á Capitá</t>
  </si>
  <si>
    <t>París</t>
  </si>
  <si>
    <t>eral Oudinot solo un batallón pudo entrar en ataque: nuestra pérdida ha sido de poca consideración. Mr. París, coronel de los polacos, quedó muerto. La pérdida de los enemigos ha sido mayor qule la que se pensaba. Se han enterrado mas de 900 cadáveres de rusos, cuya pérdida no puede valua</t>
  </si>
  <si>
    <t>Parnell</t>
  </si>
  <si>
    <t>a, como lo han probado los incidentes que acaban de pasar con ocasión de la mudanza del ministerio, Mr. Parnell habló largamente sobre los principios de la religión católica, sosteniendo que es tan favorable como puede serlo otra qualquiera, á los verdaderos intereses políticos de la nación</t>
  </si>
  <si>
    <t>Parrondo y Ortiz, Domingo</t>
  </si>
  <si>
    <t>Domingo Parrondo y Ortiz</t>
  </si>
  <si>
    <t>a; D. Manuel García Várela; D. Manuel Malo y Reyes; D. Blas Ostoloza, doctor en teología y cánones; D. Domingo Parrondo y Ortiz, y D. Francisco Pió Guzman, maestros de primeras letras. En la extracción de la real lotería, executada ei mártes 14 del corriente, salieron los números 7, 80, 37, 57 y 10; y con</t>
  </si>
  <si>
    <t>Pasare, Antonio</t>
  </si>
  <si>
    <t>Antonio Pasare</t>
  </si>
  <si>
    <t>a, á D. Josef Magret; y para otro de la misma parroquial, baxo la invocación del Espíritu santo , á D. Antonio Pasare!!, El Rey se ha servido conferir compañía en el regimiento de caballería del Infante al ayudante, graduado de capitán, D. Gabriel de Tagle: en el de Calatrava tenencia al alférez</t>
  </si>
  <si>
    <t>Pascale, Pedro</t>
  </si>
  <si>
    <t>Pedro Pascale</t>
  </si>
  <si>
    <t>o Moreda: en el de voluntarios de Estado ayudantía ál teniértté de granaderos, graduado de capitán, D. Pedro Pascale, y tenencia al subteniente de granaderos D.~ Vicente Ferreri: en el de Ñapóles ayudantía al teniente D. Cayetano Mafei:: .en el de Malltírea tenencia al subteniente de granaderos</t>
  </si>
  <si>
    <t>Pascual</t>
  </si>
  <si>
    <t>ain,D.Francisco del Valle, D. Francisco Fernandez de Villa, D. Estéban Beulf, D. Cayetano Franques, D. Pascual &lt;Gisbert,T&gt;. Andrés de A yala,D.Félix deRivas, las memorias deVargas y Doña Leonor Perez de Arraciel, á quienes les está comunicado traslado de lo alegado por D Miguel Maria de Pa</t>
  </si>
  <si>
    <t>Pascual Barra, Ignacio</t>
  </si>
  <si>
    <t>Ignacio Pascual Barra</t>
  </si>
  <si>
    <t>S. M. se ha servido nombrar para una canongía de la catedral de León, vacante por fallecimiento de D. Ignacio Pascual Barra, á D. Antonio Cortés y Arias, cura párroco de la villa de Monte-Rubio, en el priorato de la ó den de Alcántara: para la media-ración de la catedral de Málaga, vacante por promoció</t>
  </si>
  <si>
    <t>Pascual Canut</t>
  </si>
  <si>
    <t>iente Coronel y D.f Josef de Laiglesia : Tenencia en el de la Princesa al Subteniente de granaderos D. Pascual Canut; y Subtenencias de bandera en el mismo cuerpo ál Cadete D. Juan Santiago y Llano: en el de León al Sargento primero de granaderos D. Tomas Luengo y al Cadete D. Josef Martínez Nog</t>
  </si>
  <si>
    <t>Pascual Casales, Pedro</t>
  </si>
  <si>
    <t>Pedro Pascual Casales</t>
  </si>
  <si>
    <t>. S. M. se ha servido nombrar para el corregimiento de la villa de Guadalcanal, de segunda clase, á D. Pedro Pascual Casales; para la vara de alcalde mayor de la villa de la Solana, de primera clase ó entrada, á. Don Andrés Gonzalo Ramírez, ambas en el territorio de la orden de Santiago: para la regenci</t>
  </si>
  <si>
    <t>Pascual Díaz Granados</t>
  </si>
  <si>
    <t>onde ; á Tenientes de fusileros á los Subtenientes D. Henrique Arroyüelo, D. Juan Antonio de Zayas, D. Pascual Diaz Granados y D. Simón Guerrero; á Subteniente de granaderos al de fusileros D. Esíéoan Morrón &gt; á Subtenientes de fusileros á los Cadetes D. Manuel XJrueta y D. Manuel Conde, y al Soldado distin</t>
  </si>
  <si>
    <t>Pascual Ferratt</t>
  </si>
  <si>
    <t>)°9 ... Pascual Ferratt ........ · de Josef. ....... Burriana....................... 1797.. Licenc. S 2 ... l. Cabo 2.° Pedro Juan Sierra .... de Pedro</t>
  </si>
  <si>
    <t>Pascual Igualador</t>
  </si>
  <si>
    <t>. Cayetano Gabriel Ga-' liego y Martínez, Prebendado de la Catedral de Sigíienza, ó en esta Corte á Don Pascual Igualador , calle de Májaderitos ancha, frente á la imprenta, quarto 2.0 Los subscriptores á la obra origina! Gabinete de antigüedades podrán acudir á Jas librerías de Villareal y Fuenteneb</t>
  </si>
  <si>
    <t>Pascual Lamparero</t>
  </si>
  <si>
    <t>Amandi y sobrino, vecinos de esta villa, endosado por estos á D. Gerónimo Gómez González , y este á D. Pascual Lamparero , presbítero en León. Quien supiere de él, avisará á dichos Sres. Amandi y sobrino, calle dé la Montera,, núm* 14, y en León á D. Gerónimo Gómez González. Por el tribunal del cons</t>
  </si>
  <si>
    <t>Pascual Lázaro, Antonio</t>
  </si>
  <si>
    <t>Antonio Pascual Lázaro</t>
  </si>
  <si>
    <t>timo, para la mejora del quarto. Quien quisiere hacerla acuda ante dicho Juez, por la escribanía de D. Antonio Pascual Lázaro,</t>
  </si>
  <si>
    <t>Pascual Novella</t>
  </si>
  <si>
    <t>se ha servido el Rey conferir Compañías ¿i los Capitanes D. Diego Montalvo y D. Pascual Novella, Teniente de granaderos y Ayudante dei propio Cuerpo. En el Regimiento de caballería del Príncipe se ha servido S. M. conceder Tenencia al Alférez D. Ambrosio González Mojena: en el de Espa</t>
  </si>
  <si>
    <t>Pascual Ruiz Huidohro</t>
  </si>
  <si>
    <t>ner probabilidades morales de sef atacado Montevideo, el. Comandante general de Marina et Brigadier Don Pascual Ruiz Huidohro me. pasó la. siguiente frden , su fecha li de Ju do.; Desdeñe! día 2 deí corriente mes, en que recibí notkia.por el Subdelegado de Marina en la emenada.de Barragan de haber sido o</t>
  </si>
  <si>
    <t>Pascual y Cortés, Miguel</t>
  </si>
  <si>
    <t>Miguel Pascual y Cortés</t>
  </si>
  <si>
    <t>ara lograr copiosas produccioi es ccn la alternativa de cosechas que pudiera establecerse en ellas: D. Miguel Pascual y Cortés sobre las viñas , cuidados que requieren su plantacicn y cultivo, Jos que exige la poda, y los que debiera haber en la vendimia.___En el dia 16 el socio D. Luis María de Cistue, c</t>
  </si>
  <si>
    <t>Pascual Zamora</t>
  </si>
  <si>
    <t>xpresada ciudad. AVISOS, En el juzgado ordinario de la ciudad de Alcalá de Henares, y escribanía de D. Pascual Zamora, penden autos, en los que tienen'ínteres D. Fermín de Martiarena, sus hijos, herederos o representantes; y por tanto se l.s llama y emplaza para que dentro del preciso término de</t>
  </si>
  <si>
    <t>Pascual, Antonio</t>
  </si>
  <si>
    <t>Antonio Pascual</t>
  </si>
  <si>
    <t>io D. Josef Lasala; á supernumerario al brigadier D. Vicente Bustamante; á brigadier al subrigadier Don Antonio Pascual; á subrigadier al cadete D. DiegoPerosa; á cadete de número al supernumerario D. Josef Moldes , y á supernumerario al'guardia D. Josef Gasqiie. • El rey se ha servido conferir com</t>
  </si>
  <si>
    <t>Pastor Bernardo Barrachina</t>
  </si>
  <si>
    <t>l de Alicante, diócesi de Orihuela, vacante por fallecimiento de D. Manuel Leonardo Izquierdo ; y á D. Pastor Bernardo Barrachina para un beneficio de la parroquial de Xerica, diócesi de Segarte, vacante por muerte de D. Josef Míaguet. . ■ , El Rey se ha servido conferir el empleo de segundo ayudante mayor e</t>
  </si>
  <si>
    <t>Pastor, Blas</t>
  </si>
  <si>
    <t>Blas Pastor</t>
  </si>
  <si>
    <t>servido conceder en el regimiento de infantería de León subtenencia de bandera al sargento primero D. Blas Pastor. S. M. se ha servido promover en el regimiento suizo de Traxler á subteniente de granaderos al de fusileros D. Valero Gareau : en el de Betschart á capitán segundo á D. Luis Gogd,</t>
  </si>
  <si>
    <t>Paterno Fernández de Moros</t>
  </si>
  <si>
    <t>regular del sant 3 Sepulcro de la ciudad de'Calatayud» obispado de Tarazona, vacante por muerte de D. Paterno Fernandez de Moros; y pata una ración dé da qatedral de Roda, diócesi de Déi ida, vacante por promoción de D. Ignacio Gatees y Perez á eánongía de la misma iglesia, á D. jacinto Mariano y Viñas.</t>
  </si>
  <si>
    <t>Patricio Caballero</t>
  </si>
  <si>
    <t>en el regimiento de infantería de Cantabria subtenencia de bandera al sargento primero del de Soria D. Patricio Caballero. En América. El Rey se ha servido nombrar para el deanato de la iglesia de Comayagua, vacante por fallecimiento de D. Josef Joaquín Beltran, á D. Pedro Alvino Mexía; para el arced</t>
  </si>
  <si>
    <t>Patricio Ortiz</t>
  </si>
  <si>
    <t>compañías fixas de artilleros de guarnición de Canarias y Almería á'los subtenientes de las mismas D. Patricio Ortiz y D. Ildefonso Tellez. Por decreto de 27 de agosto próximo^expedido á la cámara, se ha servido S. M. conceder honores de este mismo tribunal ai limo. Sr. D. Josef María Puig de Samper</t>
  </si>
  <si>
    <t>Patricio Ortiz Pareja</t>
  </si>
  <si>
    <t>esquiera de dichas fincas, acuda ante el citado juez comisionado real, por la escribanía que excrce D. Patricio Ortiz Pareja, dentro del término de go dias contados desde el 15 de marzo úkimo. AVISOS. Quien hubiere encontrado un vale de caxa de 11© rs. £ pagarse en moneda metálica, dado por la tesorería</t>
  </si>
  <si>
    <t>Patricio Sánchez Hidalgo</t>
  </si>
  <si>
    <t>ficio servidero de la parroquial de Sta. María de la ciudad de Cuenca, vacante por fallecimiento de D. Patricio Sánchez Hidalgo, á Don Juan Bautista Alonso, beneficiado de la iglesia de Fabara en la diócesi de Zaragoza, con la obligación de residirlo por sí, y cumplir las demas cargas que tiene impuestas d</t>
  </si>
  <si>
    <t>Patricio Torrepico</t>
  </si>
  <si>
    <t>dragones del valle de Mages á capitán al tenitnte\de granaderos D.-Agustín Arayco; y á portaguión á D. Patricio Torrepico, vecino de la jurisdicción de dicho cuerpo. El dia 16 de agosto último falleció en la ciudad de M á ios 63 años y 6 meses de su edad, el Exente. Sr. D. Bruno de Heceta y Dudagoiti</t>
  </si>
  <si>
    <t>Paula de Atienza</t>
  </si>
  <si>
    <t>ados reales hospitales, con asistencia del escribano de diligencias de los mismos, cupo la suerte á Doña Paula de Atienza, que vive en la calle del León, num. 8, quarto segundo. Lo que te avisa al público para su inteligencia. El dia io del pasado falleció en esta corte, á los 54 años de edad el Excm</t>
  </si>
  <si>
    <t>Paula Pérez, Francisco</t>
  </si>
  <si>
    <t>Francisco Paula Pérez</t>
  </si>
  <si>
    <t>Marcelo, que en la catedral de León'ha resultado vacante por fallecimiento de D. Cosme Rodríguez, á D. Francisco Paula Perez, Capellán del regimiento de infantería de Málaga. El Rey se ha servido conferir la Sargentía mayor del regimiento de infantería de Aragón al Capitán de granaderos del de Toledo D.</t>
  </si>
  <si>
    <t>Paulina, Princesa</t>
  </si>
  <si>
    <t>Princesa Paulina</t>
  </si>
  <si>
    <t>FRANCIA. París 2 6 de junio. La Princesa Paulina, hermana S. M. el Emperador, está hace algún tiempo en la ciudad de Aix, desde donde piensa pasar á tomar las aguas de Greoux para restablecer su quebrantada salud..— S. A. I* ha</t>
  </si>
  <si>
    <t>Paulino Bravo de Cosío</t>
  </si>
  <si>
    <t>ial de Cervatos, en la diócesi de Burgos, vacante por muerte de D. Juan Antonio Perez de Rávago , á D. Paulino Bravo de Cosío. El Rey se ha servido conceder en el regimiento de infantería de Zamora tenencia al subteniente D. Ramón Galiano, y subtenencia de bandera al cadete D. Antonio Nícolau: en el de Z</t>
  </si>
  <si>
    <t>Payes, Cayetano</t>
  </si>
  <si>
    <t>Cayetano Payes</t>
  </si>
  <si>
    <t>y de bandera á D. Miguel Zapata y D. Pedro VaidivielsO: subtenientes de bandera en el de Olancho á D. Cayetano Payes y D. Benito Padilla: teniente y alférez en el esqyadron de dragones dé Sonsonate á D. Pedro Ugálde y D. Joaquín Tosa; y capitán, teniente y subteniente en la compañía del presidio del</t>
  </si>
  <si>
    <t>Pazos, Vicente</t>
  </si>
  <si>
    <t>Vicente Pazos</t>
  </si>
  <si>
    <t>reyno de Sta. Fe» se ha dignado S. M. promover a capitanes ai teniente D. Josef Joaquín Montes y á D. Vicente Pazos; á tenientes á IX Manuel Oíascoaga y D. Marcelo Negrete » y á subtenientes á D. Agustín García y D, Josef de la Cruz Gómez, los cinco últimos vecinos de la Jurisdicción de las mis</t>
  </si>
  <si>
    <t>Pe, Manuel</t>
  </si>
  <si>
    <t>Manuel Pe</t>
  </si>
  <si>
    <t>de la villa de Almansa á D. Manuel Josef de Vilches: para ia de ia villa de Motilla del Palancar á D. Manuel Pe rez de los Ríos: para la de las nuevas poblaciones de Andalucía, su caital la Carlota, á D. Pedro Mana Sanchoyer to: para la de las nuevas porciones de Sierra-Morena, su capital l</t>
  </si>
  <si>
    <t>Peachothe, Jorge</t>
  </si>
  <si>
    <t>Jorge Peachothe</t>
  </si>
  <si>
    <t>0. JosefaQyques .......... de Josef. ....... Oliva en Valencia ......... 1795,' Lieenc. 160 ... 14· D. Jorge'Peachothe. de D. Jorge ... Linierich ....... ~ .............. 1795.' Liccnc. 13 22 ... 1 3. J uan~laÍ'co............. d:: Manuel.oo. Getafe ..•.•..••.... ~ ............ J 796.: Licenc. SS··</t>
  </si>
  <si>
    <t>Pedió Manuel García</t>
  </si>
  <si>
    <t>de Vallejo, espitan del batallón de milicias disciplinadas de infantería de Montevideo; á D. Pedió Manuel García ,- capitán det regimiento de milicias •di 5ciplinad2s.de caballería de la colonia:gracias de capitán de exércitó á D. Hilarión de la Quintana , ayudante del regimiento de infanter</t>
  </si>
  <si>
    <t>Pedro Salvador</t>
  </si>
  <si>
    <t>a de la Havana. S. M. se ha dignado conceder ayudantía en el batallón fixo de Goatemaía al teniente D. Pedro Salvador; y tenencia de fusileros al agregado en la misma clase D. Josef María Palomares. El Rey se ha servido conferir á D. Toribio del Mazo y Villaean, capitán graduado de exército, y te</t>
  </si>
  <si>
    <t>Pedro-Francisco Álvarez</t>
  </si>
  <si>
    <t>anaderos D. Tadeo dé Piedra; a-ayudante al tenlen-f te D. Josef Arana ; á tenientes á los alféreces D. Pedro-Francisco Álvarez, Lb francisco Costales y D. Francisco Losada; á alféreces á los sargentos primeros D. Maximiliano Martinez , D. Teodoro Guevara , y al soldado ommguido D. Manuel Nieto; y á Portag</t>
  </si>
  <si>
    <t>Pedto</t>
  </si>
  <si>
    <t>Figueroa; á Tenientes á los Alféreces D. Ncrberto Alo-ólla, D.Gregorio Santayana,D. ManuelNacero , Don Pedto, Dueñas, D. Rafael González y D. Vicente Ferro; á Alféreces á los Cadetes D. Mariano Campana, D. Juan Alegría, D. Angel Mariano Ramírez y D. Martin de Concha; y á Portaestandarte</t>
  </si>
  <si>
    <t>Pelaz, Francisco Benigno</t>
  </si>
  <si>
    <t>Francisco Benigno Pelaz</t>
  </si>
  <si>
    <t>e rural del despoblado de S. Pedro de Campean en la diócesi de Zamora, vacante por fallecimiento de Don Francisco Benigno Pelaz, á D. Juan de Dios Arau; y para el préstamo de la villa de Salmeronciüos en la diócesi de Cuenca, vacante por muerte de D. Josef Prudencio Vaquero, á D. Dionisio de la Guerra. £1</t>
  </si>
  <si>
    <t>Peldz, Francisco Benigno</t>
  </si>
  <si>
    <t>Francisco Benigno Peldz</t>
  </si>
  <si>
    <t>imple rural del despoblado de S. Pedro de Campean , en la diócesi de Zamora, que vacó por muerte de D. Francisco Benigno Peldz: para la dignidad de prior, primera silla de la catedral de Osma, vacante por fallecimiento de D. Félix Martínez de Rajas, á D. Francisco Mambriüa Monzon; y para una canongía de l</t>
  </si>
  <si>
    <t>Pelegrin Pérez</t>
  </si>
  <si>
    <t>611 ... 16- Pelegrin Perez ........ de Josef. ....... Valencia....................... 179 8 .• Muert. 93'" 7fJ Cab.1. Pedro Gonzalcz ...... de Juan .....</t>
  </si>
  <si>
    <t>Pelleport, Dionisio</t>
  </si>
  <si>
    <t>Dionisio Pelleport</t>
  </si>
  <si>
    <t>cisco de la Torre al segando, á D. Josef Salazar al tercero. En la de lengua francesa, del cargo de D. Dionisio Pelleport, á Don Josef Chacón al primero, á D. Francisco Melgarejo al segundo. En la del mismo idioma, del cargo de D. Josef Sabatier, á D. Agustín Alvarez al primero, á D. Narciso Caries a</t>
  </si>
  <si>
    <t>Pellerin, Bartolomé</t>
  </si>
  <si>
    <t>Bartolomé Pellerin</t>
  </si>
  <si>
    <t>ronel., .y D. Joaquín de Chorno : á -Capitanes á les Tenientes D. Antonio Coudougnan, de granaderos,D. Bartolomé Pellerin, D. Ignacio Fernandez de Velasco, Ayudante mavor ^graduado de Capitán , D. Rafael Croqutr y D. Jóséf Cortes, ambos de granaderos ; á Ayudante mayor al Teniente D. Antonio Gayarre;</t>
  </si>
  <si>
    <t>Peña, Antonio</t>
  </si>
  <si>
    <t>Antonio Peña</t>
  </si>
  <si>
    <t>Josef Chacón y D. Manuel Blanco al segundo. En la dé física experimental, del cargo del substituto D. Antonio Peña, se juzgó digno del primer premio á D. Diego Mesía. En la de astronomía y geografía, del cargo de D. Isidoro Antiiion , han sido considerados dignos del primer premio D. Manuel Bl</t>
  </si>
  <si>
    <t>y promover en el de disciplinadas de infantería de Arequipa á capitán de granaderos al de fusileros D. Antonio Peña, y i esta resulta al teniente D. Pablo de la Barra; á ayudantes á los tenientes D. Mariano Ampuero y D. Leonardo Arbe ; á tenientes á los subtenientes D. Agustín Cáceres , D. Manu</t>
  </si>
  <si>
    <t>Peraivo y Calero, Francisco</t>
  </si>
  <si>
    <t>Francisco Peraivo y Calero</t>
  </si>
  <si>
    <t>a catedral de Sigíienza ; para la primera á D. Andrés García Gutiérrez Mellado, y para la segunda á D. Francisco Peraivo y Calero: para una media - ración, vacante en la iglesia catedral de Cuenca, por fallecimiento de D. Joaquín de las Heras, á D. Gerónimo Requejo: para otra media-ración del lugar de Masuec</t>
  </si>
  <si>
    <t>Perales, Manuel</t>
  </si>
  <si>
    <t>Manuel Perales</t>
  </si>
  <si>
    <t>ronel, D. Martin Martínez; y tenencia en el de voluntarios de Castilla al subteniente de granaderos D. Manuel Perales. En consideración á lo mal que prueba el temperamento de las nuevas poblaciones de Sierra~morena • al intendente de ellas D, Tomas González Carvajal, ha venido el Rey en relevarle</t>
  </si>
  <si>
    <t>Perceral</t>
  </si>
  <si>
    <t>a fue el general Crawfurd, á quien siguieron MM. Valton, Osborne, Jeffrey, Fnller, el Dr. Duigenan, Mr. Perceral, canciller del Echiquier, y el secretario de Estado Canning, quien concluyó su discurso diciendo, que ,,qualquiera que fuese U resultado de la discusión, los ministros de S. M. so</t>
  </si>
  <si>
    <t>Perceval</t>
  </si>
  <si>
    <t>á la vista lqs estados originales,,qualquier vocal era dueño de examinarlos. Mr, Sturgtss Bourne y Mr. Perceval apoyaron la propuesta: Lord Temple y Lord Howick la refutaron; y al cabo de algunos debates la recogió Mr, Johnstone, por la consideración de .que la impresión que se pedia en ell</t>
  </si>
  <si>
    <t>402 ministerio se nombran el lord Castlereagh, el lord Melville , Mr. Roberto Dundas, Mr. Perceval y otros. No se sabe quién ha podido aconsejar á S. M. una operación tan seria como trastornar totalmente la administración de sus estados en las críticas y deplorables circunstancia</t>
  </si>
  <si>
    <t>Peregrino Jácome</t>
  </si>
  <si>
    <t>el regimiento de infantería de la Reyna ál teniente coronel del mismo cuerpo, graduado de coronel, D. Peregrino Jácome : el de Voluntarios de Castilla al coronel del fixo de Ceuta p. Ignacio Martínez Valle j o; y subtenencia de bandera en el de América ál sargento primero D. Ambrosio Gutiérrez. yS</t>
  </si>
  <si>
    <t>Pereyra, Manuel</t>
  </si>
  <si>
    <t>Manuel Pereyra</t>
  </si>
  <si>
    <t>egulares á los demas oficiales, y confiriendo la última al Archivero D. Benito Pombaresta resulta á Don Manuel Pereyra, y la plaza que este dexa de único Oficial del mismo archivo á D. Fernando Martínez de Huete, E1 Capítan de fragata D* Juan de Tiscar anuncia que en la mañana del dia 21 del prese</t>
  </si>
  <si>
    <t>Pérez Cabello, Lorenzo</t>
  </si>
  <si>
    <t>Lorenzo Pérez Cabello</t>
  </si>
  <si>
    <t>ez: á D. Manuel Esteban Alcalá para una canongía de la catedral de Tarazoria, vacante por muerte de D. Lorenzo Perez Cabello, con retención del deanato de la propia catedral, que le confirió S. M. por decreto de 8 de febrero de este año: á D. Josef Beuna para una canongía de la colegiata de S. Feliu de</t>
  </si>
  <si>
    <t>Pérez Dávila Cabredo y XiVnenez, Juan</t>
  </si>
  <si>
    <t>Juan Pérez Dávila Cabredo y XiVnenez</t>
  </si>
  <si>
    <t>gencio de Toro Suarez y Figueroa, D. Andrés Costa y, Mut, D- Manuel Guillelmi Valeñzuela y Andrada, D. Juan Perez Dávila Cabredo y XiVnenez, D. Antonio Primó dé Ribera Oítiz de Pinedo, D. Agustín Alcalá Galiano Arias y Vargas, Don Juan Giiiral Muñoz de Salazar y Gamiz, y D. Francisco Cárdenas Villavi'-í céricío y Dávi</t>
  </si>
  <si>
    <t>Pérez de Grandallana, Domingo</t>
  </si>
  <si>
    <t>Domingo Pérez de Grandallana</t>
  </si>
  <si>
    <t>a su inteligencia. El dia io del pasado falleció en esta corte, á los 54 años de edad el Excmo. Sr. D. Domingo Perez de Grandallana, teniente general de la real armada, caballero de la orden militar de Santiago, gran cruz de la real y distinguida de Carlos 111, y consejero de Estado. Sirvió á S. M. por espacio</t>
  </si>
  <si>
    <t>Pérez de Herrera, Bernardo</t>
  </si>
  <si>
    <t>Bernardo Pérez de Herrera</t>
  </si>
  <si>
    <t>de 22 de mayo del presente año, esta reservado el derecho á los hijos, nietos y biznietos, del Lie. D. Bernardo Perez de Herrera, por el que pueden tener al crédito de 47,977 rs. 32. mrs., correspondiente á Doña. Beatriz Freyle, contra eL estado del marquesado de Frómista, y a los. réditos, vencidos y manda</t>
  </si>
  <si>
    <t>Pérez de Hinojosa, Benito</t>
  </si>
  <si>
    <t>Benito Pérez de Hinojosa</t>
  </si>
  <si>
    <t>astida ; y-para una ración de la catedral da Almería, vacante por muerte de D; Manuel Gómez Moya, á D. Benito Perez de Hinojosa. El Reí se ha servido conceder en el regimiento de infantería de León subtenencia de bandera al sargento primero D. Blas Pastor. S. M. se ha servido promover en el regimiento suiz</t>
  </si>
  <si>
    <t>Pérez de Junguitu, Tomás</t>
  </si>
  <si>
    <t>Tomás Pérez de Junguitu</t>
  </si>
  <si>
    <t>utará por la escribanía de la comisión, que desempeña D. Prudencio Serres. ’■ "* Por providencia de D. Tomas Perez de Junguitu, juez comisionado regio para la venta de bienes eclesiásticos en la diócesi de Sevilla, se ha señalado el dia 26 del corriente para el remate de las fincas siguientes:*.5x2 fanega</t>
  </si>
  <si>
    <t>o Claudio Constanzo; advirtiéndose que se ha de rematar el dia 23 del corriente. Por providencia de D. Tomas Perez de Junguitu, comisionado regio en la diócesi de Sevilla, se ha señalado el dia 17 del corriente para el remate de 30o| fanegas de tierra, divididas en 3 2 suertes, baxo distintos linderos, si</t>
  </si>
  <si>
    <t>ará j&gt;or la escribanía de la comjsion, que desempeña D. Esteban de Mas y Enrich. Por providencia de D. Tomas Perez de Junguitu, comisionado regio en Ja diócesi de Sevilla, se ha señalado el dia 3 de julio para el remate de un donadío de tierra al sitio del Drago, término de la ciudad de Arcos de la Fronte</t>
  </si>
  <si>
    <t>dose que sus remates están señalsdos para los dias 13 y 14 del corriente. ... ,! Por providencia de D. Tomas Perez de Junguitu, comisionado regio.en la diócesi de Sevilla, se ha señalado el dia 14 del corriente para el remate del cortijo nombrado de Torres, situad© en el término de la villa de Utrera, enc</t>
  </si>
  <si>
    <t>nte dicho subdelegado. Por la cpmision real de la diócesi de Sevilla, y en virtud de providencia de D. Tomas Perez de Junguitu, juez comisionado regio en ella, se ha sacado á pública subasta, y señalado el dia 7 del próximo setiembre para el remate de una casa sita en la plaza de nuestro Señor el Salvador</t>
  </si>
  <si>
    <t>Antonio Alonso Besada. Por la comisión real de la diócesi de Sevilla, y en virtud de providencia de D. Tomas Perez de Junguitu, juez comisionado regio en ella, se ha señalado el dia 31 del presente para el remátele las fincas siguientes: 80 fanegas de tierra en término de lá ciudad de Carmona, junto al pu</t>
  </si>
  <si>
    <t>villa de Béíchite.' ' Por la comisión real de la diócesi de SÍevilla, y en virtud de providencia de D. Tomas Perez de Junguitu, juez comisionado regio en ella, se ha señalado el día 1 5 del corriente^para el rematede 30 aranzadas de. olivar, »! sitio del pago del Perro i término deTa ciudad de Carrttona,</t>
  </si>
  <si>
    <t>Pérez de Jungultu, Tomás</t>
  </si>
  <si>
    <t>Tomás Pérez de Jungultu</t>
  </si>
  <si>
    <t>or; en la inteligencia que está señalado el dia 23 del presente para su remate. Por providencia de ,D. Tomas Perez de Jungultu, juez comisionado regio para la venta de bienes eclesiásticos secularizados en la diócesi de Sevilla, se ha señalado el día 26 del corriente para el remate de las fincas siguiente</t>
  </si>
  <si>
    <t>Pérez de los Ríos, Manuel</t>
  </si>
  <si>
    <t>Manuel Pérez de los Ríos</t>
  </si>
  <si>
    <t>o; y para la: ▼ara de alcalde mayor de la ciudad de Truxillo, vacante por haber cumplido su sexenio D. Manuel Perez de los Ríos, á D. Antonio Martin Rivas.” Para un empleo de capitán de la brigada de artilleros de guarnición del departamento de Canarias se ha servido S. M. nombrar al capitán segundo de la</t>
  </si>
  <si>
    <t>Pérez de Rávago, Juan Antonio</t>
  </si>
  <si>
    <t>Juan Antonio Pérez de Rávago</t>
  </si>
  <si>
    <t>Galan: para una canongía de la colegial de Cervatos, en la diócesi de Burgos, vacante por muerte de D. Juan Antonio Perez de Rávago , á D. Paulino Bravo de Cosío. El Rey se ha servido conceder en el regimiento de infantería de Zamora tenencia al subteniente D. Ramón Galiano, y subtenencia de bandera al cadete</t>
  </si>
  <si>
    <t>Pérez de Vera y Pajaza, Pedro</t>
  </si>
  <si>
    <t>Pedro Pérez de Vera y Pajaza</t>
  </si>
  <si>
    <t>mbre próximo pasado, se ha servido nombrar para el corregimiento de letras de la villa deEstepona á D. Pedro Perez de Vera y Pajaza. El Rey se ha servido nombrar para la vara de alcalde mayor de la ciudad de Daroca á D. Francisco Xavier Otal y Palacio; y para la de Palma, capital del reyno de Mallorca, á D. Ig</t>
  </si>
  <si>
    <t>Pérez Girón, Miguel</t>
  </si>
  <si>
    <t>Miguel Pérez Girón</t>
  </si>
  <si>
    <t>lla, y executoria de los señores del real y supremo consejo de Castilla, se cita, llama y emplaza á D. Miguel Perez Girón, D. Simón Perez, D. Pedro de Barcia, Santiago Celada, D. Pedro Garay, D. Isidoro del Castillo, D. Miguel Llaguno, IX Pedro Baranda, JoaquinGuio, Jcsef Mendez, Bartolomé Martin, Pe</t>
  </si>
  <si>
    <t>Pérez Henriquez, Juan</t>
  </si>
  <si>
    <t>Juan Pérez Henriquez</t>
  </si>
  <si>
    <t>sus réditos, importante 530,146 rs. 1 marav., impuesto en el consulado de.dicha ciudad 2 nombre de D. Juan Perez Henriquez, para que en el término preciso de 2 meses comparezcan en el expresado supremo consejo, y por sii escribanía de cámara, á deducirlo ; con apercibimiento que de no hacerlo les para</t>
  </si>
  <si>
    <t>Pérez Junguitu, Tomás</t>
  </si>
  <si>
    <t>Tomás Pérez Junguitu</t>
  </si>
  <si>
    <t>a, lo pra eticará por la escribaníi de la comisión, que exerce Gabriel Martínez. Por providencia de D. Tomás Perez Junguitu, comisionado regio en la diócesi de Sevilla, se hi señalado el dia 20 dei presente para ei remate de una casa con dos cuerpos, sita en ia calle del Santuario de ia ciudad de S. Lu</t>
  </si>
  <si>
    <t>Pérez Mata, Santiago</t>
  </si>
  <si>
    <t>Santiago Pérez Mata</t>
  </si>
  <si>
    <t>catedral de Tortosa: y para una canongía de la catedral de Barbastro, vacante por fallecimiento de D. Santiago Perez Mata, á D. Sebastian Bañólas* El Rey se ha servido conferir compañía en el regimiento de infantería de 'Voluntarios de Estado al teniente, graduado de capitán , D. Joaquín Herreros t a</t>
  </si>
  <si>
    <t>Pérez Nestares, Juan</t>
  </si>
  <si>
    <t>Juan Pérez Nestares</t>
  </si>
  <si>
    <t>ta corte. Otra cartilla elemental de agricultura que tiene por lema: Labore et constantia, su autor D. Juan Perez Nestares, regidor perpetuo decano en su estado noble, y labrador de la ciudad de Utrera : y la Cartilla del arte de carretero que tiene por lema: Protege enseñando, su autor D. Sebastian d</t>
  </si>
  <si>
    <t>Pérez Piñuela, Sebastián</t>
  </si>
  <si>
    <t>Sebastián Pérez Piñuela</t>
  </si>
  <si>
    <t>rancisco Zapata, canónigo de la de Astorga: para otra de la catedral de Jaén, vacante por moerte de D. Sebastian Perez Piñuela, á D. Miguel de los Santos Ballesteros Fermosell *• para una ración de la catedral de Osma, vacante por fallecimiento de D. Pedro Nevado, á D. Fernando Caya; y para el préstamo be</t>
  </si>
  <si>
    <t>Pérez Viilamil, Joaquín María</t>
  </si>
  <si>
    <t>Joaquín María Pérez Viilamil</t>
  </si>
  <si>
    <t>*95 VENTAS JUDICIALES. Por providencia de D. Joaquín María Perez Viilamil, juez comisionado regio en las diócesis de Tuy y Orensé, se hallan en pública subasta 56 ferrados de trigo/ 10 de centeno/ 20 de mijo menudo, 94 de maíz, 33 rsy en dinero, y 6 gal</t>
  </si>
  <si>
    <t>Pérez Villamil, Juan</t>
  </si>
  <si>
    <t>Juan Pérez Villamil</t>
  </si>
  <si>
    <t>, donde llaman los Llanos, con 775 cepas entre vivas y marras, tasada en 775 rs., acuda ante el Sr. D. Juan Perez Villamil, auditor general del supremo consejo del Almirantazgo, por la escribanía que exerce D. Juan Antonio de Urraza, en el término de 30 dias, contados desde el i.° del corriente. El se</t>
  </si>
  <si>
    <t>de la Guerra, carrera de S. Gerónimo» AVISOS* Por providencia de 19 del corriente, dada por el Sr. D. Juan Perez Villamil, del consejo de S. M., su auditor general en el supremo del Almirantazgo, como asesor general interino de les cuerpos y tropas de casa real, se ha mandado celebrar junta general d</t>
  </si>
  <si>
    <t>Pérez, Antonio</t>
  </si>
  <si>
    <t>Antonio Pérez</t>
  </si>
  <si>
    <t>eneficio patrimonial de la parroquial de Ainzon, diócesis de Zaragoza, vacante por fallecimiento de D. Antonio Perez: á D. Manuel Esteban Alcalá para una canongía de la catedral de Tarazoria, vacante por muerte de D. Lorenzo Perez Cabello, con retención del deanato de la propia catedral, que le</t>
  </si>
  <si>
    <t>n la librería de Arribas, calle de las Carretas, se hallan las obras de música nuevas siguientes de D. Antonio Perez. Para forte-piano las 3 marchas favoritas de Posen, Varsovia y Breslau, á 8 rs. cada una: el célebre romance del matrimonio de Fígaro, con 10 variaciones, de ICannengiesser: céleb</t>
  </si>
  <si>
    <t>carán con la posible brevedad. Aforismos de las cartas castellanas y latinas de Antonio Pérez, secretario que" fue de Felipe n: un tomo en 8.° Se hallará en las librerías de la viuda deQuiroga, calle de las Carretas, y en la de Castillo, á 16 rs. en pasta. GRABADO. Nueva colección de</t>
  </si>
  <si>
    <t>Pérez, Francisco</t>
  </si>
  <si>
    <t>Francisco Pérez</t>
  </si>
  <si>
    <t>n y D. Luis_ Ferriet; á Tenienres al Subteniente de fulleros D. Vicente Borges, y los de granaderos D. Francisco Perez..y Muro, D. Matías Cervera y D. Francisco Morejon ;a Subtenientes de granaderos á les de fusileros D. Antonio Duvreüill, D. Francisco Cañedo y D. Juan Bernardo Domínguez ; á Subte</t>
  </si>
  <si>
    <t>Pérez, Pedro</t>
  </si>
  <si>
    <t>Pedro Pérez</t>
  </si>
  <si>
    <t>86 ... 29. Pedro Perez ............ de Antonio ••• Bcrja ............................ 1802 •• Muert. 69... 26. Cab•. r.o .PedroRuiz.............. deE\lgenio•••• ·Mildrid............</t>
  </si>
  <si>
    <t>Pérez, Simón</t>
  </si>
  <si>
    <t>Simón Pérez</t>
  </si>
  <si>
    <t>s señores del real y supremo consejo de Castilla, se cita, llama y emplaza á D. Miguel Perez Girón, D. Simón Perez, D. Pedro de Barcia, Santiago Celada, D. Pedro Garay, D. Isidoro del Castillo, D. Miguel Llaguno, IX Pedro Baranda, JoaquinGuio, Jcsef Mendez, Bartolomé Martin, Pedro Guio, Vívent</t>
  </si>
  <si>
    <t>Perezá, Blas</t>
  </si>
  <si>
    <t>Blas Perezá</t>
  </si>
  <si>
    <t>rahcisco Oviedo; á.brigadier al subrUadier D. Alexo de Santa María;, á subrigadier al cadete garzón D. Blas Perezá. cadete^ de número al su</t>
  </si>
  <si>
    <t>Perfume, Juan</t>
  </si>
  <si>
    <t>Juan Perfume</t>
  </si>
  <si>
    <t>ntal D. Josef Ordavidcluz, D. Manuel Cedrón, D. Antonio Valentín Diez, D. Josef Blan*? co Atidrade, D, Juan Perfume, D. Ramón Zuazo y el referido Soto y Parga: eri geometría práctica D. Josef Carrero, D. Manuel Royo, D. Ramón JEiroa, y los citados Ordavideluz , Cedrón , Valentín Diez, Blanco An</t>
  </si>
  <si>
    <t>Perignon, General</t>
  </si>
  <si>
    <t>General Perignon</t>
  </si>
  <si>
    <t>e St. Malo, Capitán Blanchard, ha cogido un buque ingles procedente de la Barbada.__ El corsario el General Perignon, deí jpiismo puerto, Capitán Fromy, ha entrado después de 30 días de crucero ;con las 3 presas inglesas Patcn, TJtfity y Entreprise. Las fragatas Tnetis y la corbeta Silphe han ll</t>
  </si>
  <si>
    <t>Pernety, General</t>
  </si>
  <si>
    <t>General Pernety</t>
  </si>
  <si>
    <t>Lissa el dia 6 con las primeras partidas de la infantería. El 7 el General Vandamme, acompañado del General Pernety, Comandante de la artillería, y del Coronel de ingenieros Bíein, reconoció ¿ la ligera la parte occidental de la plaza, cuya guarnición se sabia era de 6® hombres, y quedó señalad</t>
  </si>
  <si>
    <t>e Breslau ha Capitulado^ y que la guarnición desfilará el dia 7 , quedando prisionera de guerra, El General Pernety calcula que durante el sitio ha tirado á la plaza 10©. entre balas, granadas ,y bombas, y que la-plaza nos ha tirado un quintuplo ó séxtuplo. La artillería de Breslau ha mostrado</t>
  </si>
  <si>
    <t>Perron, Juan Francisco</t>
  </si>
  <si>
    <t>Juan Francisco Perron</t>
  </si>
  <si>
    <t>s números y pertenencia son como sigue: núm. 2056 á favor de Doña María Catalina Mexía , 2057 di de D. Juan Francisco Perron, 2058 aí de D. Josef de la Herran, *059 al de Doña Mam Josefa Vázquez y Adorna, 2060 al de D. Francisco MartinezSisniega, 2061 al.de D. Cristóbal García, 2o6z al. de D. Francisco</t>
  </si>
  <si>
    <t>Personat, Vicente</t>
  </si>
  <si>
    <t>Vicente Personat</t>
  </si>
  <si>
    <t>ño, comunicada á la junta general de comercio y moneda, se ha servido S. M. conceder . privilegio.á D. Vicente Personat, vecino de Valencia, y fabricante de medias, para que pueda colocarle! escudo de las armas reales eri ;su fábrica, calle de Ruzafa, num. 15, en premio de su aplicación. Y publicad</t>
  </si>
  <si>
    <t>Pescador, Santiago</t>
  </si>
  <si>
    <t>Santiago Pescador</t>
  </si>
  <si>
    <t>la son los siguientes, disertando cada uno sobre el punto que les había tocado por suerte, á saber: D. Santiago Pescador de estática: D. Antonio Gil del cálculo integral: D. Tomas Polo de dinámica: D. Clemente Ocaña de la aplicación del álgebra á la geometría: D. Francisco Gavás del álgebra; y D. Manuel</t>
  </si>
  <si>
    <t>Pestalozzí</t>
  </si>
  <si>
    <t>l terreno que cubría el depósito de sus aguas. • ! ' Beisilea 1° de.Enero de '180/. ¡ , m .. * i. • Mr. Pestalozzí, tan celebre por eiftiuevo método que ha invpnta4q¡ enseñanza y educación, se propone, de acuerdo con Mr. Niederer y otros sabios, puoiiear un periódico relativo á este importante</t>
  </si>
  <si>
    <t>Petit, General</t>
  </si>
  <si>
    <t>General Petit</t>
  </si>
  <si>
    <t>daba la caballería ligera del tercer cuerpo; Mr. Excel-» mans , Coronel del i.° de cazadores; y .el General Petit. El Emperador ha mandado que en las relaciones de oficio que se bagan de los combates se anoten las proezas dignas de pasar á la posteridad; pues por ella, y para vivir eternament</t>
  </si>
  <si>
    <t>dragones del General Beaumont, y empezó el cañoneo en Czarnowo. El Mariscar Davoust mandó pasar al General Petit con el duodécimo de línea para forzar los reductos del puente. Sobrevino la noche, y fué preciso acabar las operaciones á la luz de da luna, quedando cumplidas las órdenes del Emp</t>
  </si>
  <si>
    <t>Peyro, Francisco</t>
  </si>
  <si>
    <t>Francisco Peyro</t>
  </si>
  <si>
    <t>fianza de acreedor: de mejor derecho qué les está prevenida. Entre los efectos de testamentaría de D. Francisco Peyro, que estuvo casado con Doña María Bringas, vecinos que fueron de la ciudad de Cuenca, se ha encontrado una exícutoria de nobleza, que se sacó en el año de 1743 para D. Manuel Jaci</t>
  </si>
  <si>
    <t>Peyrolon, Francisco</t>
  </si>
  <si>
    <t>Francisco Peyrolon</t>
  </si>
  <si>
    <t>Martínez de Aparicio. En Toledo......... . Sres. Chavarri y Posadillo. En Valencia.......... Sres. D. Francisco Peyrolon y compañía. En Valladolid...... D. Francisco Durango é hijo mayor. En Zamora........... D. Josef Ligero. En Zaragoza........ D. Tomas de la Madrid. En Zeuta............... D. Pedro</t>
  </si>
  <si>
    <t>1204 JEn Toro.............. D. Josef de Ligero. En Valencia......... Sres. D. Francisco Peyrolon y compañía. En Valladolid..... D. Francisco Durango. En Zamora...... . D. Rafael Suarez. En Zaragoza....... D. Tomas de la Madrid. En Zenta.............. D. Pedro Huguet, comisionad</t>
  </si>
  <si>
    <t>Peyrolott, Francisco</t>
  </si>
  <si>
    <t>Francisco Peyrolott</t>
  </si>
  <si>
    <t>... Sres. Chavarri y Posadillo. T«&gt;r(i..í........... Di Josef de Ligero. En Valentía......... Sres. D. Francisco Peyrolott y compañía. En Valladolid....... D.Francisco Durango. En Zamora............ D. Rafael Suarez. En Zaragoza......... D. Tomás de la Madrid. En Zeüia ............. D. Pedro Hugnet, com</t>
  </si>
  <si>
    <t>Peyron</t>
  </si>
  <si>
    <t>la plaza-, ha tenido por conveniente embarcarse con sus tropas, y se ha pasado á la isla de Rugen. Mr. Peyron, uno de sus edecanes, á quien había dexado de comandante en Stralsund, ha venido hoy con dos de los principales magistrados á pedir capitulación. Yo no podia condescender con peti</t>
  </si>
  <si>
    <t>Peyron Comandante, Coronel</t>
  </si>
  <si>
    <t>Coronel Peyron Comandante</t>
  </si>
  <si>
    <t>se destruirán los arrabales. El Teniente General Barón de Essen es nuestro Gobernador militar, y el Coronel Peyron Comandante particular de la plaza. Sabemos que el quartel general del Mariscal Mortier se halla todavía en Anclam.</t>
  </si>
  <si>
    <t>Pezzel</t>
  </si>
  <si>
    <t>pequeños. La longitud total de la cola es de 3 grados y 12 minutos. AUSTRIA. Viena 4 de noviembre. Mr. Pezzel, que acaba de hacer una nueva descripción de esta capital, regula su población en este año de 1807 en 260© habitantes. Viena y sus arrabales tienen 6853 casas, y el alquiler de el</t>
  </si>
  <si>
    <t>Pfuhl</t>
  </si>
  <si>
    <t>usiano en Holanda, ha sido nombrado plenipotenciario cerca del rey ae Dinamarca, y el mayor general Mr. Pfuhl, á quien .se atribuye el plan de la última campaña, ha entrado al servicio de Rusia. En Memel hay en el día mucha gente. Esta ciudad se halla situada sobre el Báltico, y es la últ</t>
  </si>
  <si>
    <t>Philipstadt</t>
  </si>
  <si>
    <t>quedado prisionero. Quando el general Abbé entró en Reggio, habia 10 minutos que se habia embarcado Mr. Philipstadt. Mientras pasaban estas cosas en tierra, una esquadrilla de 15 embarcaciones amenazaba á Tropea y á Pizzo, y desembarcaba algunas fuerzas en el golfo dé Sta. Eufemia; pero las gua</t>
  </si>
  <si>
    <t>Pico de Haedo, Félix</t>
  </si>
  <si>
    <t>Félix Pico de Haedo</t>
  </si>
  <si>
    <t>audiencia del Sr. D. León de Sagasta, teniente corregidor de esta villa, y escribanía que despacha D. Félix Pico de Haedo, se han mandado sacar á publica subasta dos casas sitas en esta corte, la una en la calle de la Flor, núm. 5, manzana 508, tasada eri 40,172 rs.; y la otra en la calle del Pozo, n</t>
  </si>
  <si>
    <t>Pico, Juan Antonio</t>
  </si>
  <si>
    <t>Juan Antonio Pico</t>
  </si>
  <si>
    <t>e cita, llama y emplaza á quantos se estimen con derecho á los bienes del concurso de acreedores de D. Juan Antonio Pico y su sociedad intitulada Pico hermanos, para que en el preciso término de un año contado desde el 14 de noviembre próximo pasado, acudan á formalizarlo ante el mismo tribunal; con a</t>
  </si>
  <si>
    <t>Pico, Ramón Antonio</t>
  </si>
  <si>
    <t>Ramón Antonio Pico</t>
  </si>
  <si>
    <t>.............. D. Benito de la Piedra. • En Cartagena....... D. Bernardo Elizalde. En Ciudad-Real.. D. Ramón Antonio Pico. En Córdoba........... Sres. Barcia padre é hijo. En la Coruña....... D. Manuel Elzaurdi. En Cuenca......... . Sres. viuda de Escolar y Noriega é hijo. En Granada........ D. Franc</t>
  </si>
  <si>
    <t>iz.............. D. Benito de la Piedra. En Cartagena....... D. Bernardo Elizalde. En Ciudad-Real.. D. Ramón Antonio Pico. En Córdoba,.,...,... Sres. Barcia padre é hijo. En la Coruiia....... D. Manuel Elzaurdi. En Cuenca......... ..i Sres. viuda de Escolar, Noriéga é hijo. En Granada........ D, Fran</t>
  </si>
  <si>
    <t>Piedra Cárdena, Gerónimo</t>
  </si>
  <si>
    <t>Gerónimo Piedra Cárdena</t>
  </si>
  <si>
    <t>o de dragones de España, en el reyno de México, se ha servido el Rey promover á capitán ai ayudante D. Gerónimo Piedra Cárdena; á ayudante al teniente D. Francisco Arroyave; á teniente al alférez marques del Apartado; á alférez al portaguión D. Josef Irala, y á portaguión al cadete D. Josef Bey tía. En el</t>
  </si>
  <si>
    <t>Píeme Popham</t>
  </si>
  <si>
    <t>se hizo común en las ce le nías vecinas, viéndose estampados en Tos quatros ángulos los retratos de Sir Píeme Popham, deí general Beresferd, de Washington y de Miranda , como asociados para la consecución de un mismo fin, con varios bosquejos de batallas navales, y orlados con estas quatro inscr</t>
  </si>
  <si>
    <t>Pierrepont</t>
  </si>
  <si>
    <t>d. Tenemos entre la isla y Stralsund 24 barcas cañoneras. &gt; El 12 del corriente se despidió del rey Mr. Pierrepont, enviado de S. M. británica, y al dia siguiente presentó sus credenciales Mr. Stratlon, nuevo enviado de Inglaterra. Nuestro monarca parece que está resuelto á emplear todas las f</t>
  </si>
  <si>
    <t>Píerrepont</t>
  </si>
  <si>
    <t>/ 75* Mr» Stratton y Mr. Píerrepont, que se hallaban aquí, han salido ya; el primero de vuelta para Inglaterra , habiendo' concluido su comisión cerca del Rey de Suecia, y el segundo para Stralsund en lugar de Mr St</t>
  </si>
  <si>
    <t>no había pasado el Sund la expedición inglesa. El 18 de junio llegó á Stralsund el ministro ingles Mr. Píerrepont, y al dia siguiente tuvo su primera audiencia. Las tropas españolas que. han entrado últimamente en el país de Hannóvér están reunidas actualmente en las Inmediaciones de ZeH. &gt; L</t>
  </si>
  <si>
    <t>Pierron</t>
  </si>
  <si>
    <t>4 cañones que sostenían el ataque de los rusos. Por parte de los franceses mu-rió el coronel bávaro Mr. Pierron; y añade el general Lemarrois que el 2.0 regimiento de infantería de la primera legión polaca se habia portado como un regimiento francés. DINAMARCA. Copenhague ij de mayo. Espera</t>
  </si>
  <si>
    <t>Pierrot</t>
  </si>
  <si>
    <t>e S. Felipe, y en la de Orea, frente á S. Luis. Idea del teatro pintoresco y mecánico, que da á luz Mr. Pierrot, para satisfacción é inteligencia de los curiosos que asistan á tan prodigioso espectáculo. En este discurso se describen los primores de esta asombrosa máquina, que no puede meno</t>
  </si>
  <si>
    <t>Pietsch</t>
  </si>
  <si>
    <t>o ¿ Varsovia son ei de Negocios extrangeros Mr. de Bose,el secretario del departamento de la Guerra Mr. Pietsch, el de lo Interior Mr. Grahl, y Mr. Gebhard, secretario que fue de legación en Londres, y que ahora lo es del departamento de negocios extrangeros. Ningún individuo del cuerpo dip</t>
  </si>
  <si>
    <t>Pimentel, Francisco Antonio</t>
  </si>
  <si>
    <t>Francisco Antonio Pimentel</t>
  </si>
  <si>
    <t>M. para una ración de la metropolitana de Caracas, va* cante por promoción de D. Domingo Blandin,á D. Francisco Antonio Pimentel; y para la media-ración que este obtenia á D. Juan Agustín Díaz Argote. ESTADISTICA. El imperio de Rusia apenas tiene igual en territorio, y en población es uno de los mas poderos</t>
  </si>
  <si>
    <t>Pimentel, Luis</t>
  </si>
  <si>
    <t>Luis Pimentel</t>
  </si>
  <si>
    <t>Luengo y al Cadete D. Josef Martínez Noguerol: en el de Astúrias al Sargento primero de granaderbs D. Luis Pimentel; y en el de Ultonia al Cadete SL Pedro Nolasco Burguera: en el del Principe Ayudantía al Teniente de</t>
  </si>
  <si>
    <t>Pimiento</t>
  </si>
  <si>
    <t>__ El exército ingles sobre un cangrejo en ademan de ir 4 socorrer 4 sus aliados en el continente.^.D. Pimiento.Se hallarán en las librerías de Escribano, Gutiérrez,Gómez, Malacuera y Esparza 4 3 rs. iluminadas y á 2 en negro. * MUSICA. En la librería de Esparza, puerta del Sol, se hallan l</t>
  </si>
  <si>
    <t>Piñeyro de las Cafas y Malignado, Santiago</t>
  </si>
  <si>
    <t>Santiago Piñeyro de las Cafas y Malignado</t>
  </si>
  <si>
    <t>cedo Yañes de Burgos, D. Carlos, Miyares Mancebo y Lo} zaga, D. Francisco Betbecé Llano y Marroco , D. Santiago Piñeyro de las Cafas y Malignado», D. Juan de Mata Marina Arnaiz y León, D. Víctor Duro.Saenz y Solano, D. Fernando Ruiz Lorenzo y^Ruiz, D. Francisco Brias Aguilera y Ulloa, D. Josef Betbecé Llano y Marroco, D. F</t>
  </si>
  <si>
    <t>Piñeyro, Juan</t>
  </si>
  <si>
    <t>Juan Piñeyro</t>
  </si>
  <si>
    <t>érdida consistió en f muertos y 8 heridos del i.°de Cataluña, entre ellos gravemente el subteniente D. Juan Piñeyro, y lastimado el teniente D. Francisco Camilleri; y 2 dragones muertos y, otro herido gravemente de Villa viciosa, con pérdida de 5 caballos.__ En el segundo batallón de voluntario</t>
  </si>
  <si>
    <t>Pintor y Sarri, Félix</t>
  </si>
  <si>
    <t>Félix Pintor y Sarri</t>
  </si>
  <si>
    <t>Artajona para otra ración patrimonial de la parroquial de Fuen-¿ tes de Ebro, en dicha diócesi; y á D. Félix Pintor y Sarri para un beneficio residencial, baxo la invocación de las Once mil Vírgenes, vacante en la catedral de Sólsoria por fallecimiento de D. Antonio Bellus. En el regimiento de reales g</t>
  </si>
  <si>
    <t>Pió de Gana</t>
  </si>
  <si>
    <t>adjunto, señalado con el núm. n.°, llorando entre los muertos al comandante del tercio de Arribeños D. Pió de Gana, cuya actividad, valor y patriotismo lo habian hecho distinguir entre los demas de su clase, y la del teniente de navio D.Cándido de Lasala de resultas de sus heridas: quedándome</t>
  </si>
  <si>
    <t>Pío de Luzurisga, Antonio</t>
  </si>
  <si>
    <t>Antonio Pío de Luzurisga</t>
  </si>
  <si>
    <t>ecibirán memoriales, que los pretendientes dirigirán al escribano de ayuntamiento de la misma villa D. Antonio Pío de Luzurisga. En la villa de Brieba, partido de Soria y arzobispado de Burgos, se halla vacante la plaza de médico: su det .cion es 69 rs. anuales y casa: es pueblo de uros 100 vecinos con 3 e</t>
  </si>
  <si>
    <t>Pió Guzman, Francisco</t>
  </si>
  <si>
    <t>Francisco Pió Guzman</t>
  </si>
  <si>
    <t>Manuel Malo y Reyes; D. Blas Ostoloza, doctor en teología y cánones; D. Domingo Parrondo y Ortiz, y D. Francisco Pió Guzman, maestros de primeras letras. En la extracción de la real lotería, executada ei mártes 14 del corriente, salieron los números 7, 80, 37, 57 y 10; y con ellos han ganado los jugado</t>
  </si>
  <si>
    <t>Pió, Papa</t>
  </si>
  <si>
    <t>Papa Pió</t>
  </si>
  <si>
    <t>o. Retrato colosal del Rey de Ñápeles. Busto del Emperador Napoleón, de mármol, colosal.. Busto del Papa Pió tu, de mármol. Busto del Emperador Francisco n* Bascos relieves. Sócrates salvando la vida á Alcibíades, en la academia de Lúea. Sócrates defendiéndose ante el Areopagoen el palac</t>
  </si>
  <si>
    <t>Piony</t>
  </si>
  <si>
    <t>ose de la educación de los hijos de varios de sus habitantes indigentes. Milán 1° de Enero de 1807* Mr. Piony, individuo del Instituto, Inspector general de puentes y calzadas de Francia, está en Roma examinando las numerosas y magníficas fuentes que adornan aquella capital, y los aqiiedu</t>
  </si>
  <si>
    <t>Piqué, Pedro</t>
  </si>
  <si>
    <t>Pedro Piqué</t>
  </si>
  <si>
    <t>uial de la villa de la Grahadelia, diócesi de Lérida, vacante por renuncia de D. Francisco Rigal: á D. Pedro Piqué para un beneficio de la parroquial de S. Andrés de la ciudad de Lérida, vacante por fallecimiento de D. Ramón Fabregues: á jD. Casimiro Franco para una ración de la parroquial de</t>
  </si>
  <si>
    <t>Piqueres, Francisco</t>
  </si>
  <si>
    <t>Francisco Piqueres</t>
  </si>
  <si>
    <t>sef Miñana mayor, de Cervera de San Mateo: otra idem á Vicente Tello, de Torres-Torres: otra idem á D. Francisco Piqueres, de Alicante: otra idem á Josef SeLma, de Oatí*. yotra idem á Pascual Melíá, de Albocacer: otra idem á Josef Zamora, de Villamarchant: otra ideen á D. Martin Esteban de Fageaga, d</t>
  </si>
  <si>
    <t>Pirez, Juan</t>
  </si>
  <si>
    <t>Juan Pirez</t>
  </si>
  <si>
    <t>diatas de coronel, teniente coronel, sargento mayor de brigada y capitán primero á D. Manuel Feliu, D. Juan Pirez, D. Mauricio Rodríguez de Berlanga y D. Francisco Ximenez de la Isla. El Rey se ha servido nombrar subteniente de artilleros á caballo del primer regimiento al subteniente de á pi</t>
  </si>
  <si>
    <t>Pisana y Muñoz, Luis</t>
  </si>
  <si>
    <t>Luis Pisana y Muñoz</t>
  </si>
  <si>
    <t>, en la calcografía de S. M. establecida en la imprenta real. VENTAS JUDICIALES. Por providencia de D. Luis Pisana y Muñoz, juez comisionado regio para la ▼enta de bienes eclesiásticos en la diócesi de Cuenca, se ha señalado el dia 19 del presente para el remate de una heredad llamada del Ranal, sita</t>
  </si>
  <si>
    <t>. —— . '■ .. . I. ......... . i' ....... — I ...... . III———' VENTAS JUDICIALES. Por providencia de D. Luis Pisana y Muñoz, juez comisionado regio para la venta de bienes eclesiásticos en la diócesi de Cuenca, se ha señalado el dia 15 del</t>
  </si>
  <si>
    <t>tará por la escribanía de la comisión, que desempeña D. Josef de Lira y Nicolás. Por providencia de D. Luis Pisana y Muñoz, comisionado regio para la venta</t>
  </si>
  <si>
    <t>Pisón, Ramón</t>
  </si>
  <si>
    <t>Ramón Pisón</t>
  </si>
  <si>
    <t>Felipe Sobrado. Asimismo para la plaza supernumeraria de oidor de la chancillería de Valladolid á ;D. Ramón Pisón, alcalde del crimen honorario de la misma: para igual plaza supernumeraria de oidor de la chancillería de Granada á D.Juan Josef Polo y Varea , que lo es honorario de la de Vallad</t>
  </si>
  <si>
    <t>Pitaluga y Guillem, Francisco</t>
  </si>
  <si>
    <t>Francisco Pitaluga y Guillem</t>
  </si>
  <si>
    <t>ra el arcedianato de-Serralbo, dignidad de la de Huesca, vacantexpoír muerte de D¿ Pablo Millan : á D. Francisco Pitaluga y Guillem para una canongía de la colegial de Alicante, diócesi de Orihuela, vacante por fallecimiento de D. Manuel Leonardo Izquierdo ; y á D. Pastor Bernardo Barrachina para un beneficio</t>
  </si>
  <si>
    <t>Pitt</t>
  </si>
  <si>
    <t>n que se aumentó el exército en los ministerios precedentes. El Lord Sydmourh añadió 40® hombres, y Mr. Pitt 33®. No puede haber mejor prueba de la insuticiencia de los planes del auevo ministerio;y por lo tanto es menester volver á examinarlos.” Mr. Windhatn respondió al Lord Castíereag</t>
  </si>
  <si>
    <t>s de una guerra tan larga y tan gravosa para la nación. Al paso halló modo de insertar el elogio de Mr. Pitt, de su sucesor Mr. Addington, hoy dia lord Sydmouth, y de Mr. Fox. Ostentando, como es costumbre, grandes deseos de paz, pretendió que la nación se halla en estado de sostener la</t>
  </si>
  <si>
    <t>itbr?ad extrañó que se hagan reparos contra un proyecto evidentemente justo y aun útil: recordó que Mr. Pitt había en otro tiempo demostrado palpablemente que la Inglaterra ganaría mucho con la abolición de la esclavitud. „Se dice, continuó, que otras naciones harán ese ©dioso comercio.</t>
  </si>
  <si>
    <t>é pues que la expedición contra la América meridional fue siempre uno de los proyectos favoritos de Mr. Pítt, que ia meditaba; que durante su ministerio último había tomado varias providencias para su execucion; que jamas perdió de vista este proyecto, y que solamente algunas razones de</t>
  </si>
  <si>
    <t>os establecimientos españoles de la América meridional. La presenté, &lt;y pocos dias después tuve con Mr. Pitt una conferencia, en que sé examinaron los medios que yo proponía. ,, En el mes de diciembre se me dió el mando del navio Diadema, el qual se armó con intención positiva de emplear</t>
  </si>
  <si>
    <t>os proyectos contra las posesiones españolas de la costa .oriental de la América del sur, propuse á Mr. Pitt que á la mayor brevedad hiciese partir la expedición para atacar el Cabo. El ministro accedió á mi propuesta; y á'pocos dias se me dieron las instrucciones como comandante en gefe</t>
  </si>
  <si>
    <t>ición contra Buenos-Ayres, era porque el almirantazgo no tenia entonces noticia de los proyectos de Mr. Pitt ni de los suyos: en prueba de esto leyó una carta del lord Barham,que era primer lord del almirantazgo quando se le dieron las instrucciones, en la qual decia que si él hubiera te</t>
  </si>
  <si>
    <t>los testigos, los quales justificaron plenamente las aserciones, del capitán sobre los proyectos de Mr. Pitt, y las relaciones confidenciales que este oficial tenia con el ministro j y en vista de todo, el consejo pronunció la sentencia de que ya hemos dado noticia al público, reducida e</t>
  </si>
  <si>
    <t>os holgazanes y mal entretenidos. Un acta, emanada delparlamento á fmes del rey nado de Isabel, que Mr. Pitt llamaba la biblia de esta materia, comprehende todas las leyes promulgadas sobre ella hasta entonces, y sirvió de fundamento á otras posteriores. Pero de algún tiempo á esta parte</t>
  </si>
  <si>
    <t>Pitt y Mr</t>
  </si>
  <si>
    <t>ndeses con lá Grati Bretaña ño se contraxo obligación formal de otorgarle* nuevas concesiones; pero Mr. Pitt y Mr. Fox, su ilústre rival, creían que era no solo conveniente y político,'sirio también necesárid.”' * - &gt; J Continuó el lord Grenville refiriendo otros incidentes posteriores; y vin</t>
  </si>
  <si>
    <t>Pitt y Otros</t>
  </si>
  <si>
    <t>eramente con la Francia, y espero que la haremos s y siempre me han parecido mal las invectivas que Mr. Pitt y Otros miembros han proferido en esta cámara contra los franceses; pues siendo enemigos nuestros, debíamos esperar que guerrea— lian en contra nuestra ib mejor que pudiesen, y á fe qne e</t>
  </si>
  <si>
    <t>Plácido Ortiz de Elejalde</t>
  </si>
  <si>
    <t>ratado de Petersburgo, léase de Presburgo, AVISO, En 22 de octubre próximo pasado remitió á Oropesa D. Plácido Ortiz de Elejalde, del comercio de esta corte, calle Mayor, una car’a de pago de 10® rs. de tesorería maycr á favor de aquel administrador de rentas D. Gerónimo Muñoz de Silva, con sobre á Valentín</t>
  </si>
  <si>
    <t>Plácido Recio</t>
  </si>
  <si>
    <t>araíso, de donde era hijo el dicho Sr. limo, consagrado, representándola su actual prelado el R. P. D. Plácido Recio. En América. En el regimiento provincial de dragones de Mechoacan, en el reyno de Nueva España, se ha servido el Rby promover á teniente al alférez D. Ramón Terreros; á alférez al</t>
  </si>
  <si>
    <t>Plajas, Pedro</t>
  </si>
  <si>
    <t>Pedro Plajas</t>
  </si>
  <si>
    <t>spués orquesta y bayle hasta las 6 del siguiente día. S. Te lile de Guhcols 24 de julio* El capitán D. Pedro Plajas, que tiene el mando de la medía galera de esta villa, nombrada el Comercio de S. Feliuf conduxo ayer á este puerto el xabeque Perla (este buque fue correo de Menorca, y apresado p</t>
  </si>
  <si>
    <t>Planas, Juan</t>
  </si>
  <si>
    <t>Juan Planas</t>
  </si>
  <si>
    <t>o Ximenéz -p3ta&gt;Qtrai§ubdiaco^il déla propia oaxédral y-vacante por ntubrte de D. Jacinto Mari* y á D. Juan Planas, sirvíéúte d.djcDro del monastejrio.de núes</t>
  </si>
  <si>
    <t>Plata, Agustin</t>
  </si>
  <si>
    <t>Agustin Plata</t>
  </si>
  <si>
    <t>ert. 96... 2. Agustin Plata .... ~ ..•. de Antonio... Pedrajas de Segovia ....... J 795'. Muert. 79 .•. 26. Antonio Brotona ..... de Jayme.•.•.. Xáriva .......................</t>
  </si>
  <si>
    <t>Plenk</t>
  </si>
  <si>
    <t>doctrina químico-fisiológica de los humores contenidos en el cuerpo humano, escrita en latin por el Dr. Plenk, y traducida al castellano. Esta obra, única en su clase, es una fisiología-química, física y vital de los humores, que reúne todos los conocimientos del dia: un tomo en 8.°, á 8</t>
  </si>
  <si>
    <t>Polé, Carlos</t>
  </si>
  <si>
    <t>Carlos Polé</t>
  </si>
  <si>
    <t>su destino. GRAN BRETAÑA, Londres j de marzo. Cámara de los Comunes. En la sesión de 27 de febrero Sir Carlos Polé abrió la discusión sobre la abolición del comercio de negros, impugnando el bilí propuesto como impolítico, y como destructor de las colonias y del comercio ingles. Mr. Hughan , q</t>
  </si>
  <si>
    <t>Polenta, General</t>
  </si>
  <si>
    <t>General Polenta</t>
  </si>
  <si>
    <t>de infantería el del Duque Maximiliano., el ae Bevelangen ,el de Saenger y el del Duque Antonio. El General Polenta mandará este cuerpo, que debe marchar á Polonia el 18 de enero. Todas las noticias del Norte aseguran que das negociaciones con Suecia, en caso que hayan existido, se han roto; y</t>
  </si>
  <si>
    <t>Polentz, General</t>
  </si>
  <si>
    <t>General Polentz</t>
  </si>
  <si>
    <t>ontingente saxon, destinado á reforzar el exército grande, se compone de 8© hombres, que mandará el General Polentz. Francfort 7 de febrero. En Suabia se ha restablecido la tranquilidad alterada á causa del levantamiento de tropas. Las tropas austríacas que estaban acantonadas en la Hungría sup</t>
  </si>
  <si>
    <t>Polo, Bartolomé</t>
  </si>
  <si>
    <t>Bartolomé Polo</t>
  </si>
  <si>
    <t>eder en los regimientos de infantería de la Reyna y León tenencias á los subtenientes de granaderos D. Bartolomé Polo y D. Josef Osorio. El capitán general de la isla de Cuba, marques de Someruelos, elilustrísimo obispo de la Havana y la sociedad económica han manifestado al Serenísimo Señor Príncipe</t>
  </si>
  <si>
    <t>Polo, Tomás</t>
  </si>
  <si>
    <t>Tomás Polo</t>
  </si>
  <si>
    <t>a nación: D. Josef Ribera de los auxilios que mutuamente se prestan la agricultura y el comercio; y D. Tomas Polo sobre si es cierto que una contribución cargada á un ramo qualquiera se reparte con el transcurso del tiempo por medio de las oscilaciones entre todos los agentes productivos-----</t>
  </si>
  <si>
    <t>&lt;6 mas sólidos y completos; á este deben seguir D. Clemente Ocaña y Don Santiago Pescador, después D. Tomas Polo, y finalmente D. Francisco Gavás y D. Manuel María Cevallos. Premios -distribuidos cí los discípulos de estas escuelas. Vistas por la sociedad las graduaciones y aprovechamiento d</t>
  </si>
  <si>
    <t>Pomarol, Buenaventura</t>
  </si>
  <si>
    <t>Buenaventura Pomarol</t>
  </si>
  <si>
    <t>metropolitana de Tarragona,, baxp la invocación ae las ontce; mil vírgenes , vacante por muerte de D. Buenaventura Pomarol. I. Eji; la compañía .italiana del real cuerpo de guardias de corps ha concedido :S. M. graduación de alférez de. ella, con antigüedad, sueldo y mando, al ayudante D. Juan de Maga</t>
  </si>
  <si>
    <t>Pombaresta, Benito</t>
  </si>
  <si>
    <t>Benito Pombaresta</t>
  </si>
  <si>
    <t>ebes, declarando los ascensos regulares á los demas oficiales, y confiriendo la última al Archivero D. Benito Pombaresta resulta á Don Manuel Pereyra, y la plaza que este dexa de único Oficial del mismo archivo á D. Fernando Martínez de Huete, E1 Capítan de fragata D* Juan de Tiscar anuncia que en l</t>
  </si>
  <si>
    <t>Ponce de León, Joaquín Lorenzo</t>
  </si>
  <si>
    <t>Joaquín Lorenzo Ponce de León</t>
  </si>
  <si>
    <t>El dia 7 de abril último falleció en esta corte, á los 76 anos no cumplidos de edad, el Excmo. Sr. D. Joaquín Lorenzo Ponce de León, Baeza Manrique de Lara ; marques de Castromon.te conde de Garciez; grande fie España de primera clase, gentilhombre de enmata d,e S. M. con exérciV cio, gran cruz ^e la real y di</t>
  </si>
  <si>
    <t>Ponce, Ramón</t>
  </si>
  <si>
    <t>Ramón Ponce</t>
  </si>
  <si>
    <t>D. Josef Martínez y D. Juan Cetina; á Subtenientes de compañía á los de bandera D. Josef Calderón, Don Ramón Ponce, D. Cayetano Barana y D. JuánGalan, y á D. Josef Pereyra y D. Josef Carrion,vecinos de la demarcación del regimiento;y á Subtenientes de bandera á los Cadetes D. Miguel Diez de Bo</t>
  </si>
  <si>
    <t>Poniatonski, Príncipe</t>
  </si>
  <si>
    <t>Príncipe Poniatonski</t>
  </si>
  <si>
    <t>rden á los comandantes de los referidos cuerpos. =Ei general de división, ministro de la guerra, J. Príncipe Poniatonski" GRAN BRETAÑA. Londres de diciembre. No tardará en empezarse la causa del general Witelocke. £1 consejo de guerra se celebrará en Chelsea, y lo presidirá un personage de alto cará</t>
  </si>
  <si>
    <t>Pons</t>
  </si>
  <si>
    <t>blicado relaciones circunstanciadas de e¿cos dos viageS, que el público ha leído con mucho Ínteres. Mr. Pons, astrónomo de Marsella, ha descubierto el 20 de setiembre, en la constelación de Virgo, un nuevo cometa, que se mueve hacia el N. E. Se distingue claramente por la noche con la si</t>
  </si>
  <si>
    <t>Pons, Pedro</t>
  </si>
  <si>
    <t>Pedro Pons</t>
  </si>
  <si>
    <t>Juan Ignacio Estaola, y abCadete del de .Sevilla D. Alfonso Albornoz, y en el .de Ultóma al Cadete D. Pedro Pons. /ELREYseha servido nombrar Auditor de Guerra&gt;del Exército y Rey</t>
  </si>
  <si>
    <t>Pons, Rafael</t>
  </si>
  <si>
    <t>Rafael Pons</t>
  </si>
  <si>
    <t>Flaquer, capellán de exército agregado al espiado mayor de la plaza de Mahon, vacante por muerte dé D. Rafael Pons; á D. Mariano Lozano para otra de la colegial de Sta. María de la ciudad de Calatayud, obispado de Tarazo na ,* vacante por fallecimiento de D. Francisco Mallorcas: á D. Antonio R</t>
  </si>
  <si>
    <t>Pophám</t>
  </si>
  <si>
    <t>ar con sus tropas á Europa, y estas fueron echadas tierra adentro, ha sido, como V. S. sabe, porqué Mr. Pophám nunca quiso desamparar el rio, y esperaba los socorros que V. S. propio había pedido al Cabo, para, reforzado con ellos, revolver contra nosotros. ¿ Cómo quería V. S. que siendo e</t>
  </si>
  <si>
    <t>Popow</t>
  </si>
  <si>
    <t>asegura que el ministro de lo Interior conde de Kotschubey ha pedido su dimition, y que le sucederá Mr. Popow, consejero íntimo. Una fragata inglesa se ha apoderado recientemente, á la altura de Re</t>
  </si>
  <si>
    <t>Portalís</t>
  </si>
  <si>
    <t>ue viene.” El presidente del cuerpo legislativo contestó en términos propios de las circunstancias. Mr. Portalís, ministro de los Cultos, ha fallecido en esta capital el 2 f del corriente.</t>
  </si>
  <si>
    <t>Portillo, Francisco Antonio</t>
  </si>
  <si>
    <t>Francisco Antonio Portillo</t>
  </si>
  <si>
    <t>la saturación con el carbonate, ió cargas de vino prensado , que todos los años se le volvía agrio. D. Francisco Antonio Portillo, vecino de Minglanilia, que de 75 libras de uva sacó 11 libras y 4 onzas de mascabado, y cuya esposa fabricó también otra corta porción, superior en blancura y cristalización á la</t>
  </si>
  <si>
    <t>Posada, Ramón</t>
  </si>
  <si>
    <t>Ramón Posada</t>
  </si>
  <si>
    <t>mbasaguas, D. Pedro Sánchez Pavón, D. Joaquín Gaidiano', D. Josef'María Jussué, D. Josef Baquedano, D. Ramón Posada, D. Josef Bretón , Don Eugenio de Zuloaga, D. Vicente Bassoco y D. Manuel de la Torre. Ganaron el premio extraordinario eje instrucción religiosa los caballeros gefe de sala D. Ma</t>
  </si>
  <si>
    <t>Posadas, Francisco</t>
  </si>
  <si>
    <t>Francisco Posadas</t>
  </si>
  <si>
    <t>1 rs. cada tomo en rústica y 25 ©n pasta. Compendio de la vida del V. P. P- Fr. Francisco Posadas, natural de la ciudad de Córdoba, hijo del real convento de S. Pablo, orden de predicadores de la misma ciudad. Se hallará en el convento de Sto. Tomas de esta corte; en Córdoba en el de S</t>
  </si>
  <si>
    <t>Posse, Francisco</t>
  </si>
  <si>
    <t>Francisco Posse</t>
  </si>
  <si>
    <t>ir la Sargentía mayor del regimiento de infantería de Aragón al Capitán de granaderos del de Toledo D. Francisco Posse; y la del de Borbon al Capitán de granaderos del de Voluntarios de Estado, graduado de .Teniente Coronel y D.f Josef de Laiglesia : Tenencia en el de la Princesa al Subteniente de</t>
  </si>
  <si>
    <t>Poza, Tadeo</t>
  </si>
  <si>
    <t>Tadeo Poza</t>
  </si>
  <si>
    <t>rtin Martínez, practicante en leyes, del calórico: D. Matjo Navarro, medicinante, del reyno animal: D. Tadeo Poza, farmacéutico, de la preparación de las aguas artificiales : D. Domingo Martínez, farmacéutico, de la luologia ; y D. Juan Josef Bagnena, farmacéutico, de los metales.___Acreditar</t>
  </si>
  <si>
    <t>Pradas, Francisco</t>
  </si>
  <si>
    <t>Francisco Pradas</t>
  </si>
  <si>
    <t>iente de granaderos, graduado de capitán, D. Pedro Isasmendi: teniente al subteniente de granaderos D. Francisco Pradas; y subtenencia dé bandera al cadete D. Fulgencio Bernabeu. En el regimiento de caballería del Príncipe se ha servido S. M. conceder empleo de alférez al portaestandarte D. Olaguer</t>
  </si>
  <si>
    <t>Pradas, Juan Antonio</t>
  </si>
  <si>
    <t>Juan Antonio Pradas</t>
  </si>
  <si>
    <t>esarrollo, nácimiento, crecimiento, olor, color, inflorescencia y fructificación dfc los vegetales: D. Juan Antonio Pradas sobre los árboles frutalest en sus ftre£ clases de pepita, hueso y espino, describió el modo de hacer las almácigas &lt;5 viveros de cada una de ellas; el tiempo que respectivamente</t>
  </si>
  <si>
    <t>Pradel, Francisco</t>
  </si>
  <si>
    <t>Francisco Pradel</t>
  </si>
  <si>
    <t>es, oficial déla contaduría general de la distribución de la real hacienda; D. Pedro García Várela; D. Francisco Pradel; D. Ventura María Sani, conserge del real palacio delrsitio de S. Ildefonso, y D. Simón de Roxas Clemente, bibliotecario del real jardín botánico de Madrid. En cumplimiento de las</t>
  </si>
  <si>
    <t>Prado, Antonio</t>
  </si>
  <si>
    <t>Antonio Prado</t>
  </si>
  <si>
    <t>de Farnesio al ay n dan te, gradeado de capitán, D. Antonio Prado; y en el de Calatrava empleo de Portaestandarte al sargento primero D. Anadet&lt;&gt; Perez. También se ha dignado $. M. conceder ayudantía en el regimiento de dragones de la Reyna aí t</t>
  </si>
  <si>
    <t>Prats, Francisco</t>
  </si>
  <si>
    <t>Francisco Prats</t>
  </si>
  <si>
    <t>nte de granaderos al de fusileros D. Ruperto Mier, y á subtenientes al sargento primero distinguido D. Francisco Prats y al soldado distinguido D. Vicente Legorburo. .. ........... ■ .1 ............ —i.. .... i ■ n i i .............. ———O Acerca de la máquina hidráulica, anunciada en gazeta de 23 de</t>
  </si>
  <si>
    <t>presidente Cristóbal</t>
  </si>
  <si>
    <t>rotas y dispersas, y de; qne se iba consolidando mas cada dia la autoridad del presidente Cristóbal..Una carta de Cabo-Francés, con fecha del 20 de julio, dice que este último, después de haber desbaratado enteramente á Petion, habia marchado hacia Puerto-Prí</t>
  </si>
  <si>
    <t>presidente Jefferson</t>
  </si>
  <si>
    <t>n tal caso podrá, en uso de sus facultades constitucionales, moderar la pena el presidente Jefferson. Otro de los sucesos ruidosos que ahora ocupan la atención general, es el insulto hecho por los ingleses contra el pabellón americano. La fragata nombrada la C</t>
  </si>
  <si>
    <t>presidente Jenerson</t>
  </si>
  <si>
    <t>avio de guerra el Vasp volverá á Lóndres con el tratado de paz desechado por el presidente Jenerson: este navio debió salir de Washington el 10 de abril, y no’ha llegado aun. El presidente de los Estados-Unidos declaró en una audiencia pública que aun quando</t>
  </si>
  <si>
    <t>Presidente Mr</t>
  </si>
  <si>
    <t>énero de crimen? Para contestar á esta qiienion es preciso observar que, siendo Presidente Mr. Adams, se promulgó una ley, que declara este género de delito igual á los crímenes de alta traycion.__ Esta ley se halla fundada sobre motivos muy justos; pue</t>
  </si>
  <si>
    <t>presidente Mr</t>
  </si>
  <si>
    <t>ugal y el ministro de Wiirtemberg. En seguida obtuvo audiencia el instituto; su presidente Mr. Bervic arengó á S. M., quien contestó con el mayor agrado, y conversó largo rato con los individuos del cuerpo. El Rey de Holanda está en Tarascón, y toma las</t>
  </si>
  <si>
    <t>mplimentar á S. M. el Rey de Westfalia una diputación del senado, compuesta del presidente Mr. Lacepede, y de los pretores Mr. el mariscal duque de Dantzick, y Mr. Clement de Rist Mr. Lacepede pronunció el discurso á nombre del senado, y concluido entró</t>
  </si>
  <si>
    <t>ara substraerse de esta violencia y escapar , se habian aprovechado de ella. El presidente Mr. JefFersou ha expedido uea circular para convocar el congreso de los Estados, la qual está concebida en estos términos: ,, En atención á que algunos objetos de</t>
  </si>
  <si>
    <t>a abertura con el ceremonial acostumbrado. En la sesión de hoy ha sido nombrado presidente Mr. Six. Las juntas no se celebrarán en el palacio de SS. AA. PP., que se está reparando en la actualidad, sino en el que se llama del Príncipe Mauricio. Se aguar</t>
  </si>
  <si>
    <t>los y francos. Tal es el objeto de las tareas de la academia céltica, de que es presidente Mr. Lenoir, director del museo imperial de monumentos franceses. La Reyna de Nápoles se ha trasladado de su casa de campo de Morfontaine al sitio de Fontainebleau</t>
  </si>
  <si>
    <t>reparado en esta ciudad. El mismo dia dio audiencia al cuerpo legislativo, cuyo presidente Mr. Ryland Halt arengó á S. M. en nombre de sus colegas en estos términos: . - - - • ■ .&gt; -■</t>
  </si>
  <si>
    <t>Presidente Sagebarthe</t>
  </si>
  <si>
    <t>davía de la herida que recibió en la batalla de Jena, Ministro de la Guerra. El Presidente Sagebarthe, Ministro de lo Interior. Las fuerzas actuales de la monarquía prusiana son estas: Al Rey le acompañan 15 00 hombres entre infantería y caballería. __EÍ Genera</t>
  </si>
  <si>
    <t>Prevost</t>
  </si>
  <si>
    <t>erón: 2.a edición.—.El deán de Killerine, ó sean memorias del conde de ***, escritas en francés por Mr. Prevost, y traducidas por D. J. A. V. Y. M.: 2.a edición: 4 tomos en 3.° Se hallarán en la librería de Barco y compañía , calle de las Carretas. Datos sobre algunas leyes inglesas que han</t>
  </si>
  <si>
    <t>Prieto, Joaquín</t>
  </si>
  <si>
    <t>Joaquín Prieto</t>
  </si>
  <si>
    <t>fusileros á los subtenientes D. Manuel S-aenz y D. Matías Sandoval, y á subtenientes de fusileros á D. Joaquín Prieto y D. Francisco Echeverría; á teniente en el batallón de 'Goatemala á D. Josef de Jesús Valero, los tres últimos vecinos de la jurisdicción de sus respectivos cuerpos; á teniente y sub</t>
  </si>
  <si>
    <t>Primado, Príncipe</t>
  </si>
  <si>
    <t>Príncipe Primado</t>
  </si>
  <si>
    <t>mento acostumbrado. Antes de ayer fue á Saint-Cloud en tres carrozas de da corte S. A. Em. Mons. el Príncipe Primado, acompañado de su comitiva y de los empleados en su servidumbre por S. M. el Emperador. S. A. fue recibido al pie de la escalera por S. E. el gran maestro de ceremonias, é introdu</t>
  </si>
  <si>
    <t>s que va á recorrer. Ya ha recibido mas de 500: las principales son las que le han enviado S. A. él Príncipe Primado de la confederación del Rin; S. A. el Príncipe de la Paz, almirante de España, y el consejero de estado Mr. Moscat¡ de Milán. Las academias de Petersburgo, Copenhague y Turin, y valias</t>
  </si>
  <si>
    <t>Primó de Ribera Oítiz de Pinedo, Antonio</t>
  </si>
  <si>
    <t>Antonio Primó de Ribera Oítiz de Pinedo</t>
  </si>
  <si>
    <t>és Costa y, Mut, D- Manuel Guillelmi Valeñzuela y Andrada, D. Juan Perez Dávila Cabredo y XiVnenez, D. Antonio Primó dé Ribera Oítiz de Pinedo, D. Agustín Alcalá Galiano Arias y Vargas, Don Juan Giiiral Muñoz de Salazar y Gamiz, y D. Francisco Cárdenas Villavi'-í céricío y Dávila. ~ ‘ ' cosen;::; Con Real-permiso, y á be</t>
  </si>
  <si>
    <t>Príncipe de Ponte-Corvo, Mariscal</t>
  </si>
  <si>
    <t>Mariscal Príncipe de Ponte-Corvo</t>
  </si>
  <si>
    <t>al Ney, que llegó ei 18 á Ripin, y por su parte tiene apoyada su derecha en el cuerpo del mando del Mariscal Príncipe de Ponte-Corvo. Así que, todo está en movimiento. Si el enemigo se empeña en conservar su posición, habrá una batalla dentro de pocos dias. Ei éxito, con la ayuda de Dios, no puede ser dudoso. E</t>
  </si>
  <si>
    <t>l exército Francés ep .la noche del 2$ era la siguiente: La izquierda, compuesta de los puqrpos deí Mariscal Príncipe de Ponte-Corvo, y de los Mariscales Ney y Bessieres, marchando de, Biezun por el camino de Grodno. , .t _ El Mariscal Soult inmediato á Ciechanow. El Mariscal Augereau marchando hácia Golymin. f</t>
  </si>
  <si>
    <t>huc y Grouchy, y de la división de coraceros de Hautpoult, salió de Thorn dirigiéndose á Biezun. El Mariscal Príncipe de Ponte-Corvo marchó con su cuerpo de exército para sostenerle. El Mariscal Soult pasaba el Vístula en frente de Plock. El Mariscal Augereau lo pasaba en frente dé Zakroczim, donde sé estaba co</t>
  </si>
  <si>
    <t>IARIO QtJINQVAGÉSIMOQUINTO. DEL EXERCITO CRANDB. Varsovia 29 de enero. .. Combate- de Mohringen. El Mariscal Príncipe de Ponte-Corvo llegó á Mohringen con la división Drouet el 25 de este mes á las 11 de la mañana, en el memento mismo en que el enemigo asacaba al General de brigada Pactod. El Principé de Ponte-</t>
  </si>
  <si>
    <t>Príncipe, Almirante</t>
  </si>
  <si>
    <t>Almirante Príncipe</t>
  </si>
  <si>
    <t>e Ja grandeza del imperio romano: estas tres obras están dedicadas á S. A. S. el Señor Generalísimo Almirante Príncipe de .la.Paz.=±=.Invectiva contra el luxo, su profanidad y excesos: z.a edición. := Forites legum xii t^bularum: legislatio Ro-, muli et Numae: Dracoñis et Solonis atheniensium princip</t>
  </si>
  <si>
    <t>Prosorouski, Príncipe</t>
  </si>
  <si>
    <t>Príncipe Prosorouski</t>
  </si>
  <si>
    <t>cito de Cerní-Jorge han recibido orden de restituirse á Jassi, al quartel general del feld-mariscal Príncipe Prosorouski. Pero al mismo tiempo se observa que el exército ruso en vez de deshacerse, recibe continuamente nuevos refuerzos. CONFEDERACION DEL RIN. Francfort 8 de diciembre. Hace dos dias q</t>
  </si>
  <si>
    <t>Prosorowiki, Príncipe</t>
  </si>
  <si>
    <t>Príncipe Prosorowiki</t>
  </si>
  <si>
    <t>IA. Viena 8 de noviembre. Según las últimas noticias de Turquía el quartel general del feldmariscal Príncipe Prosorowiki se ha trasladado ájassy, donde se hallan Igualmente el estado mayor, el general Sergio Latcarow, y el consejera de estado Mr. Rodofinikin. En ei dia no se advierte movimiento algu</t>
  </si>
  <si>
    <t>ProsoroWiky, Príncipe</t>
  </si>
  <si>
    <t>Príncipe ProsoroWiky</t>
  </si>
  <si>
    <t>le había tomado baxo su protección; pero no parece que es cierta esta noticia, en atención á que el Príncipe ProsoroWiky, comandante general de todas las fuerzas rusas en estas dos provincias, va á trasladar su quartel á Jassy. Beglewan-baxá y Mustafá-baxá, gobernadores de Ismail y de Gicrgevo, se h</t>
  </si>
  <si>
    <t>Prosorowski, Príncipe</t>
  </si>
  <si>
    <t>Príncipe Prosorowski</t>
  </si>
  <si>
    <t>eneral Mr. Suchtelen ha ido de BuchareU á Ja ^y para acelerar ta partida de las tropas que manda el Príncipe Prosorowski. El general Sergio Lascarof permanece todavía en Rudschuck.</t>
  </si>
  <si>
    <t>Prosorowsky, Príncipe</t>
  </si>
  <si>
    <t>Príncipe Prosorowsky</t>
  </si>
  <si>
    <t>ncipe Italinski, el conde Souwarow y Mrs. Rynsnisky, Alsufyeff, Sufonoff, Steinhell y Bagdonoff. El Príncipe Prosorowsky, que acaba de ser promovido á la dignidad de feld-mariscal, sucede al general Michelson en el mando del exército de Turquía. El consejo de la guerra ha dispuesto que á cada uno de</t>
  </si>
  <si>
    <t>Proú, Luis</t>
  </si>
  <si>
    <t>Luis Proú</t>
  </si>
  <si>
    <t>e les distintos colores de los precipitados se debían á los diferet tes gradqs de su oxidación. (33 Don Luis Proú^t acaba de probar con experimentos irrefragables que el agua se .corqbinacon los álcalis, tierras y óx&gt;des metálicos en proporciones constantes, y que da color áaígunosde estos úl</t>
  </si>
  <si>
    <t>Proust, Luis</t>
  </si>
  <si>
    <t>Luis Proust</t>
  </si>
  <si>
    <t>cerca de 20 partes por 100 del azogue. Este problema no podía resolverse hasta nuestros oías en que D. Luis Proust dio á conocer á los químicos los dos grados de oxidación de los metales para combinarse Con los ’ ácidos. No obstante algunos farmacéuticos, deseosos de averiguarla causade dicho</t>
  </si>
  <si>
    <t>S. M. en la imprenta real á benefi-io de los que se dedican á las ciencias naturales , con notas dé D. Luis Proust, catedrático de química del real laboratorio de esta corte. El tomo y.°está en prensa. Véndese, con los anteriores* en el despacho de la imprenta real. RENTAS JUDICIALES. „ Por pr</t>
  </si>
  <si>
    <t>ilia. Véndese á 2 rs. en el despacho de la imprenta real, y á 4 la Memoria sobre el mismo azúcar de D. Luis Proust» EN LA IMPRENTA REAL.</t>
  </si>
  <si>
    <t>acabamos de saber que el Abate Olivier, del Instituto, que ha viajado por el Asia, ha participado á D. Luis Proust, que los persas hacen mucho uso del azúcar de uva ó mascabado. Mengua pues seria, que sabiendo esto quedáramos los europeos mas atrasados; y asi confiamos particularmente en que s</t>
  </si>
  <si>
    <t>Prudencio de Taranco, Pedro</t>
  </si>
  <si>
    <t>Pedro Prudencio de Taranco</t>
  </si>
  <si>
    <t>ona y bienes de Dona María Francisca de Taranco y Parada, habida en su primer matrimonio con el Sr. D. Pedro Prudencio de Taranco, del consejo que asimismo fue de S. M. en el supremo de Castilla, se ha solicitado el pago de ciertas cantidades que á una y otra corresponden, y que para que los acreedores á dic</t>
  </si>
  <si>
    <t>na y bienes de Doña María Francisca de Taranco y Parada, habida en su primer matrimonio: con el Sr. D. Pedro Prudencio de Taranco ¿ del consejo que asimismo fue de S. M. en el supfetno de Castilla, se ha solicitado el pago de ciertas cantidades que á una y otra Corresponden, y que para que los acreedores á d</t>
  </si>
  <si>
    <t>de Dona María Francisca de Tsranco y Parada, habida en su primer matrimonio con e3 Sr. D. Pedro Prudencio de Taranco , del consejo que asimismo fue de S. M. en el supremo de Castilla, se ha solicitado el pago de ciertas cantidades que á tina y otra corresponden; y que para que los acreedores á d</t>
  </si>
  <si>
    <t>ona y bienes de Doña María Francisca de Taranco y Parada, habida en su primer matrimonio con el Sr. D. Pedro Prudencio de Taranco, del consejo que asimismo fue de S. M. en el supremo de Castilla, se ha solicitado el pago de ciertas cantidades que á una y otra corresponden; y que para que los acreedores á dic</t>
  </si>
  <si>
    <t>Prudencio Senres</t>
  </si>
  <si>
    <t>,770 rs. Quien quisiere hacer postura, lo executará por la escribanía de la comisión, que desempeña D. Prudencio Senres. Por providencia de D. Pedro Julián Aupetit, subdelegado para la venta &lt;Je bienes eclesiásticos en el territorio de Tarazona de la Mancha, diócesi de Cuenca , se ha señalado el 3</t>
  </si>
  <si>
    <t>Prudencio Serres</t>
  </si>
  <si>
    <t>,040 rs. Quien quisiere hacer postura, lo executará por la escribanía de la comisión, que desempeña D. Prudencio Serres. ’■ "* Por providencia de D. Tomas Perez de Junguitu, juez comisionado regio para la venta de bienes eclesiásticos en la diócesi de Sevilla, se ha señalado el dia 26 del corriente</t>
  </si>
  <si>
    <t>rigida en su territorio. Quien quisiere hacer postura, lo executará por la escribanía que desempeña D. Prudencio Serres. D. Manuel Angel Carranclo, comisionado real para la enagenacion de bienes eclesiásticos comprehendidos en el vicariato de esta corte y eb'de Alcalá., ha mandado sacar á pública s</t>
  </si>
  <si>
    <t>quisiere hacer postura á qualquiera de dichas fincas, lo cxecutará por la escribanía que desempeña D. Prudencio Serres. El señor intendente de esta provincia ha aprobado el remate de una casa, que se vende i voluntad de su poseedor, sita en la villa de Áñober de Tajo, en la ca</t>
  </si>
  <si>
    <t>s. Quien quisiere hacer postura lo executará por la escribanía de la misma comisión * que desempeña Don Prudencio Serres. Por providencia de D. Pedro Antonio Caballero, corregidor por S. M. de lat quatro villa» de La Hoya de Málaga, subdelegado para la enagenacion de Jbienet eclesiásticos , se está</t>
  </si>
  <si>
    <t>Prusiano Lestocq, Teniente General</t>
  </si>
  <si>
    <t>Teniente General Prusiano Lestocq</t>
  </si>
  <si>
    <t>DEL ÉXERCtTp GÍRkNl&gt;IS. Golymin 28 de Diciembre* El Mariscal Ney, encargado de separar del Wrcka al Teniente General Prusiano Lestocq., y de amenazar, sus coqiqniGaciones con el fin de cortarle de ios Rasos , ha dirigido .estos,movimientos con su acostumbrada habilidad é intrepidez. El 23 la división. Marchand s</t>
  </si>
  <si>
    <t>PúHi</t>
  </si>
  <si>
    <t>*34 REYNO DE ÑAPOLES. Ñapóles ij de abril, Mr. PúHi, químico conocido por varios adelantos que le deben las artes , se había dedicado á hacer la análisis de las diferentes aguas termales que se conocen en los contornos de esta ciud</t>
  </si>
  <si>
    <t>Puicercus, Salvador</t>
  </si>
  <si>
    <t>Salvador Puicercus</t>
  </si>
  <si>
    <t>servido nombrar para una ración de Mensa de la metropolitana de Zaragoza, vacante por promoción de D. Salvador Puicercus á canongía de la catedral de Huesca, á D. Estéban de la Gándara Gereda: á D. Pablo Gil Sancho para una capellanía real de nuestra señora del Portillo de Zaragoza: á 1&gt;. Juan Sala</t>
  </si>
  <si>
    <t>Puig, Francisco</t>
  </si>
  <si>
    <t>Francisco Puig</t>
  </si>
  <si>
    <t>o. S. M. se ha servido nombrar para la canongía de la catedral de Valladolid, vacante por muerte de D. Francisco Puig, á D. Agustín Cabellos para la media-ración de la iglesia catedral de Córdoba, vacante por promoción de D. Josef Joaquín Mazuelo á ración entera de la propia iglesia, á D. Miguel</t>
  </si>
  <si>
    <t>Puig, Juan Alexo</t>
  </si>
  <si>
    <t>Juan Alexo Puig</t>
  </si>
  <si>
    <t>iento de infantería de Aragón se ha servido el Rey promover á Teniente al Subteniente de granaderos D. Juan Alexo Puig: en el de Cantabria Subtenencia de bandera al Cadete O. Felipe Sánchez Madrid. En el batallón de Voluntarios de Valencia se ha servido S. M. promover á primer Ayudante al Capitán</t>
  </si>
  <si>
    <t>Puig, Juan Ignacio Pablo</t>
  </si>
  <si>
    <t>Juan Ignacio Pablo Puig</t>
  </si>
  <si>
    <t>lsona, vacante por promoción de D. Toma» Ribo á la dignidad de chantre de la catedral de Solsona: á D. Juan Ignacio Pablo Puig para una de las seis capellanías menores del real palacio de la ciudad de Palma, rey no de Mallorca, vacante por promoción de D. Manuel Verd á canongía de aquella catedral. En el</t>
  </si>
  <si>
    <t>Pulido, Miguel</t>
  </si>
  <si>
    <t>Miguel Pulido</t>
  </si>
  <si>
    <t>llorca: el empteo de caparan segundo en el batallón de voluntarios de. falencia al segundo ayudante D. Miguel Pulido: tenencias en los regi-j míenlos de infantería de Irlanda» voluntarios de Estado y Ñapóles á los subtenientes D. Juan Naghten, D. Jacinto Ruiz y D. Juan Josef Arríete; y subtenenc</t>
  </si>
  <si>
    <t>Puntaleo</t>
  </si>
  <si>
    <t>Quien quisiere hacer postura, lo practicará por la escribanía de la comisión, que está al cargo de D. Puntaleo n Encinas. —Asimismo por dicho comisionado se ha mandado publicar en subasta una yugada de terrón sita en el lugar del Bodon, término de la citada ciudad,, compuesta de 110 fanega</t>
  </si>
  <si>
    <t>Put</t>
  </si>
  <si>
    <t>e derecho á ser mantenida por la parroquia. Piensa alargar.este plazo á cinco años, como igr oponía Mr. Put, pri—</t>
  </si>
  <si>
    <t>Puyredon, Juan Martín</t>
  </si>
  <si>
    <t>Juan Martín Puyredon</t>
  </si>
  <si>
    <t>migo, despreciando fatigas, tempestades y balas. ' . No debo omitir que los vecinos de Buenos-Ayres D. Juan Martin Puyredon, ya distinguido por un acto de valor pocos días antes de mi llegada, en que quitó un carro de municiones , defendido por un cuerpo de 6co hombres; D. Manuel de Arroyo, D. Josef Ga</t>
  </si>
  <si>
    <t>Qnesada, Juan</t>
  </si>
  <si>
    <t>Juan Qnesada</t>
  </si>
  <si>
    <t>ortaestandarte D. Pablo Bertendona: en el de Santiago empleo de portaestandarte al sargento primero D. Juan Qnesada; y en el de dragones del Rey ayudantía al teniente D. Isidoro Sacristán. S. M. se ha servido conferir el gobierno militar y político de la plaza del Ferrol á D. Joaquín Fidaigo, c</t>
  </si>
  <si>
    <t>Qrenville, Lord</t>
  </si>
  <si>
    <t>Lord Qrenville</t>
  </si>
  <si>
    <t>despachada expresamente por el gobierno á ¡a India con dinero para Jas pagas del exército. Según el Lord Qrenville, era Sir Home Popharn especialmente reprehensible por haber escrito una circular á los comerciantes y dueños de fabricas, animándolos á despachar remesas de géneros para Buenos-Ay</t>
  </si>
  <si>
    <t>Quadrado, Pedro</t>
  </si>
  <si>
    <t>Pedro Quadrado</t>
  </si>
  <si>
    <t>do el Rey conferir Ja tenencia coronela del regimiento de há ares de Mana Luisa al teniente coronel D. Pedro Quadrado, sargento mayor del de cazadores de Oiivenciar esta resulta á D. Francisco de Cabrera capitán del de dragones del Reyr j y en eL de húsares Españoles empleo de reniente al alférez</t>
  </si>
  <si>
    <t>Quadros, Antonio</t>
  </si>
  <si>
    <t>Antonio Quadros</t>
  </si>
  <si>
    <t>meras letras, del cargo de D. Leandro Moran, han merecido él primer premio, en la clase de lectura, D. Antonio Quadros,el segundo D. Josef Morales: en la de escritura D. Marcelino Junquera el primero , D. Joaquín Dolzel segundo: en igual escuela de primeras letras, del cargo de D. Celestino Mendoz</t>
  </si>
  <si>
    <t>Quevedo, Tomás</t>
  </si>
  <si>
    <t>Tomás Quevedo</t>
  </si>
  <si>
    <t>ación dé Sacramentos; y para la Capellanía de la Iglesia de Canaria *■ vacante por fallecimiento de D. Tomás Quevedo, y que no ha admitido D. Henrique Hernández , nombrado para ella en decreto de 6 de Julio del año próximo pasado , á D. Josef Ponce, Presbítero. ——■ ■■ "■ " 1 ■■ 1 ■ III 1)1 i I "</t>
  </si>
  <si>
    <t>Quintana, Andrés Benito</t>
  </si>
  <si>
    <t>Andrés Benito Quintana</t>
  </si>
  <si>
    <t>libras de este metal por ico del muriate conseguido. [Se-concluirá.) , En virtud de providencia de D. Andrés Benito Quintana, comisionado real en la diócesi de Calahorra y la Calzada, que reside en la ciudad de Logroño, se han mandado sacar á pública subasta diferentes fincas urbanas y rústicas; es á sa</t>
  </si>
  <si>
    <t>Quintana, Manuel</t>
  </si>
  <si>
    <t>Manuel Quintana</t>
  </si>
  <si>
    <t>arda- almacén extraordinario de artillería de la fábrica de municiones de'hierro colado de Trubia á D. Manuel Quintana. El dia xi de febrero de este año falleció en est^corte, á los64 años no cumplidos el Sr. D. Pedro Miguel Martínez de la Mata^ caballero pensionado de la real y distinguida orden</t>
  </si>
  <si>
    <t>Quintano, Juan</t>
  </si>
  <si>
    <t>Juan Quintano</t>
  </si>
  <si>
    <t>o sobre la mitologia de los antiguos, escrita en ingles por el erudito Mr. Ramsay , y traducida por D. Juan Quintano, oficial de la secretaría de jetado y del despacho de Hacienda: st tomos &lt;n 8.° Véndese en la librería de Castillo, frente á las gradas de S. Felipe; en Valencia en las de Carsi y</t>
  </si>
  <si>
    <t>Quíntela, Marcos</t>
  </si>
  <si>
    <t>Marcos Quíntela</t>
  </si>
  <si>
    <t>eniente ¿1 subteniente de granaderos D. Josef Barreyro; á subteniente de granaderos al de fusileros D. Marcos Quíntela, y á subteniente de bandera al cadete D. Juan de'Acósta. Asimismo en el regimiento de infantería de Puebla se ha servido promover á teniente coronel al sargento mayor D. Manuel de</t>
  </si>
  <si>
    <t>Rabadan, Juan Nepomuceno</t>
  </si>
  <si>
    <t>Juan Nepomuceno Rabadan</t>
  </si>
  <si>
    <t>btenientes D. Gregorio Acosta, D. Manuel Morales y D. Jmn Gregorio Nieves: &amp; Subtenientes al Cadete D. Juan Nepomuceno Rabadan, á D. Josef María Maestre y Díaz, y D. Josef Vicente Campuzaoo: á Subteniente de bandera á D. Josef Francisco Maestre y Bedanos; y á Portaguión á D. Pedro de Castro, los quatro úl</t>
  </si>
  <si>
    <t>Radolinsky, Juan</t>
  </si>
  <si>
    <t>Juan Radolinsky</t>
  </si>
  <si>
    <t>Szoldresky entregó ayer 70$ florines\ -Mf. Francisco Radolinsky ióo&amp;j Mr. Juan Radolinsky 12®; la Sra. Stablewska 18©; el Gentilhombre Hortopsky 18© &amp;c. 8ec. (Gazeta de Francia, del %i y 23 de Diciembre.) ALEMANIA. ' Hamburgo 3 d&amp; Diciembre. Se confirma que á Mr. Doorm</t>
  </si>
  <si>
    <t>Radzimi, Conde</t>
  </si>
  <si>
    <t>Conde Radzimi</t>
  </si>
  <si>
    <t>o la' pre J sentacion sucesiva de tan ilustres cuerposi f i t; i Arenga dicha en latín por S. E. el Conde Radzimi¡iskiyPalatin¿dd Gnesné, presentado con los Senadores. - l? . „Muy augusto Serenísimo é invencible Emperador : Señor ,eluniverso todo sabe vuestras proezas y triunfos. _ El Occiden</t>
  </si>
  <si>
    <t>Rafaela Bordenove y Franca Ximenez</t>
  </si>
  <si>
    <t>aquín Fusell, D. Manuel Croselles, D. Juan Ribera Colechá, Doña María Vecino, Doña Manuela Taraneo, Doña Rafaela Bordenove y Doña Franca Ximenez. Continuóse publicando la adjudicación de .6 proemios ofrecidos á las escuelas y enseñanzas de la ciudad de Felipe: y concluido,este acto, Manuel Encina dixo una cda dando gracias</t>
  </si>
  <si>
    <t>Raimford, Capitán</t>
  </si>
  <si>
    <t>Capitán Raimford</t>
  </si>
  <si>
    <t>Skerki en eli mediterráneo. Navegaba á Maltay llevaba á bordo 10$ libras esterlinas en metálico. £1 Capitán Raimford &gt; que lo mandaba, ha perdido la vida,</t>
  </si>
  <si>
    <t>Rajart, Miguel</t>
  </si>
  <si>
    <t>Miguel Rajart</t>
  </si>
  <si>
    <t>aduado de capitán, D. Andrés Martin; ayudantía al teniente D. Josef de Fuentes; tenencia al alférez D. Miguel Rajart; empleo de alférez al portaestandarte D. Cristóbal Blasco; y esta resulta ai cadete D. Felipe Coll y Lianza: finalmente se ha dignado S. M. conceder empleo de portaestandarte en e</t>
  </si>
  <si>
    <t>Ramade, Francisco</t>
  </si>
  <si>
    <t>Francisco Ramade</t>
  </si>
  <si>
    <t>Francia en Andalucía , que tiene que comunicarle asuntos de la mayor importancia, ó en esta corte á D. Francisco Ramade, que ▼ive calle de la Abada, núm. 9, quarto principal.. LISKOS. Escuela aritmética, en que con toda individualidad se explican las principales</t>
  </si>
  <si>
    <t>Ramírez de Arellano, Cayetano</t>
  </si>
  <si>
    <t>Cayetano Ramírez de Arellano</t>
  </si>
  <si>
    <t>vido conferir la sargentía mayor del regimiento.de infantería de Asturias al capitán del de Navarra D. Cayetano Ramírez de Arellano; y compañía en el de Valencia ai teniente de granaderos, graduado de capitán, D, Mateo Moreno. El domingo'22 del corriente se consagró en la iglesia de monges Bernardos de esta co</t>
  </si>
  <si>
    <t>Ramírez de Aro, Antonio</t>
  </si>
  <si>
    <t>Antonio Ramírez de Aro</t>
  </si>
  <si>
    <t>el presente curso, de D. Julián Negrete, se consideró dignos del primer premio á D. Josef Cacho y á D. Antonio Ramírez de Aro, Conde de Monte-nuevo, que ha asistido á estos estudios de orden de S. M. En la de dibuxo, del cargo de D^ Gregorio Sánchez, á D. Luis Negri al primero, á D. Francisco de la Torre</t>
  </si>
  <si>
    <t>Ramírez de Briones, Felipe</t>
  </si>
  <si>
    <t>Felipe Ramírez de Briones</t>
  </si>
  <si>
    <t>e hacer postura á dichas fincas lo ejecutará po-r ia escribanía de le comisión, qué está ¿ cargo de D. Felipe Ramírez de Briones. Por la comisión real de -la diócesi de Barcelona, y én virtud de auto del subdelegado de ella D. Josef María Fernandez de Córdoba, se saca á publica subasta, por término dé 30 di</t>
  </si>
  <si>
    <t>Ramírez de Luque, Fernando</t>
  </si>
  <si>
    <t>Fernando Ramírez de Luque</t>
  </si>
  <si>
    <t>co los santos y venerables clérigos, cuyo dia emortual no ha encontrado su autor el .cura de Lucena D. Fernando Ramírez de Luque, se hallará con los anteriores, publicados en forma de diarky que comprehenden los 1 2 meses del aHo, en la librería de Castillo; en Barcelona en la de Sierra, en Valencia en la d</t>
  </si>
  <si>
    <t>Ramírez, Agustín</t>
  </si>
  <si>
    <t>Agustín Ramírez</t>
  </si>
  <si>
    <t>teniente coronel al sargento mayor D. Manuel de Gracia, y á sargento mayor al capitán de granaderos D. Agustín Ramírez, los dos graduados de tenientes coroneles. ' En la gazeta núm. 97 , pág. H24,lín. 16 , doilde dice Suecia, léase Noruega. -.................................. ' ■ - ---------------</t>
  </si>
  <si>
    <t>Ramírez, Andrés Gonzalo</t>
  </si>
  <si>
    <t>Andrés Gonzalo Ramírez</t>
  </si>
  <si>
    <t>ual Casales; para la vara de alcalde mayor de la villa de la Solana, de primera clase ó entrada, á. Don Andrés Gonzalo Ramírez, ambas en el territorio de la orden de Santiago: para la regencia que se ha dignado S. M. crear por 3 años, y por vía de ensayo, en la villa de Villamayor de Galatrava, territorio</t>
  </si>
  <si>
    <t>Ramírez, Felipe</t>
  </si>
  <si>
    <t>Felipe Ramírez</t>
  </si>
  <si>
    <t>en él reyno de Nueva- España, se ha servido S. M. promover á capitán de granaderos al de fusileros D. Felipe Ramírez; á capitán al teniente de granaderos D. Domingo Malo; á teniente de granaderos ai de fusileros Don Juan Bautista Guerra; á teniente ai subteniente D. Agustín Iturbe, yá subtenient</t>
  </si>
  <si>
    <t>Ramírez, Miguel</t>
  </si>
  <si>
    <t>Miguel Ramírez</t>
  </si>
  <si>
    <t>iversos'pueblos del reyno, se hallan intervenidas y exlisten reservadas doce cartas con cubiertas á Don Miguel Ramírez, Doña Micaela Pini, D. Juan Antonio Gutiérrez, Doña Francisca del Castillo, Manuela Martínez, Doña Rosa de Udías y del Castro, D. Juan María Noriega, Doña María Catania Vallarina</t>
  </si>
  <si>
    <t>Ramiz, Pedro</t>
  </si>
  <si>
    <t>Pedro Ramiz</t>
  </si>
  <si>
    <t>nosa, y subtenencias de bandera al* sargento primero dé granaderos Don. Antonio Martin, y al cadete D. Pedro Ramiz: en el de la Princesa tenen*)</t>
  </si>
  <si>
    <t>Ramona Abascal</t>
  </si>
  <si>
    <t>como presidente de este Excmo. Cuorpo: en seguida se transfirió á la galería acompañado de su hija Doña Ramona Abascal, la que rompió el bayle, en el que'hubo orden, alegría y marcialidad. Al amanecer del domingo 28 se cubrió la plaza con la tropa y trenes de artillería; y congregados los cuerpos</t>
  </si>
  <si>
    <t>Ramona de la Quadra</t>
  </si>
  <si>
    <t>an Jcsef de Ortiz, cura y vicario de dicha ciudad, y mandado por ella dar de sus bienes 500 pesos á Doña Ramona de la Quadra, y á los parientes del referido finado hasta el tercer grado inclusive 150 pesos á cada uno, se hace saber á los interesados por medio de este,aviso para que con justificación del</t>
  </si>
  <si>
    <t>Ramos de Rueda, Diego</t>
  </si>
  <si>
    <t>Diego Ramos de Rueda</t>
  </si>
  <si>
    <t>diócesi de Almería: para la canongía vacante en la colegial dei Salvador, de Sevilla, por muerte de D. Diego Ramos de Rueda, á D. Juan Cristóbal Fernandez Serrano: para la capellanía real de la catedral de Canaria , vacante por promoción de D. Josef Romero Franchi á ración de la propia iglesia, á D. Gr</t>
  </si>
  <si>
    <t>Ramos y Patrón, Ignacio</t>
  </si>
  <si>
    <t>Ignacio Ramos y Patrón</t>
  </si>
  <si>
    <t>iones de la de Guadalaxara, vacantes por ascenso de D. Josef Manuel Sanmartín y D. Josef Uazueta, á D. Ignacio Ramos y Patrón, y Josef Antonio Baeza, curas en la misma diócesi. VJSNTAS JUMCJAXJiSPor la audiencia del Sr. D. Torquato Artomo Collado, teniente corregidor de esta villa, y escribanía del númer</t>
  </si>
  <si>
    <t>Ramos, Diego</t>
  </si>
  <si>
    <t>Diego Ramos</t>
  </si>
  <si>
    <t>en el de Montesa al Cadete D. Manuel Astraudi; y en el de dragones de Lusitania tenencia al alférez D. Diego Ramos, S. M. se ha servido nombrar para la plaza de oidor de la real audiencia de Cataluña, vacante por promoción de D. Andrés Romero Valdés á plaza de alcalde de k real casa y corte, á</t>
  </si>
  <si>
    <t>Ramos, Félix</t>
  </si>
  <si>
    <t>Félix Ramos</t>
  </si>
  <si>
    <t>. Sebastian de Torres y D. Ramón López: en el de Farnesio empleos de alférez á los portaestandartes D. Félix Ramos y D. Juan.Angel Díaz : en el de Algarbe compañía al ayudante, graduado de capitán, D. Andrés Martin; ayudantía al teniente D. Josef de Fuentes; tenencia al alférez D. Miguel Rajart; e</t>
  </si>
  <si>
    <t>Ramos, Pedro</t>
  </si>
  <si>
    <t>Pedro Ramos</t>
  </si>
  <si>
    <t>la Serrano:: en. los dei Príncipe, Infante y Farnesio ehi-t píeos de alférez á los portaestandartes D. Pedro Ramos, D. Vicente Gis— bert y D. Benigno Arévalo; y en el de Alcántara ayudantía al teniente D. Clemente Fernandez. v También se ha servido el rey conferir la tenencia coronela del regi</t>
  </si>
  <si>
    <t>Ramsay</t>
  </si>
  <si>
    <t>Ciro el joven, con un discurso sobre la mitologia de los antiguos, escrita en ingles por el erudito Mr. Ramsay , y traducida por D. Juan Quintano, oficial de la secretaría de jetado y del despacho de Hacienda: st tomos &lt;n 8.° Véndese en la librería de Castillo, frente á las gradas de S. Fe</t>
  </si>
  <si>
    <t>Ranerio, Archiduque</t>
  </si>
  <si>
    <t>Archiduque Ranerio</t>
  </si>
  <si>
    <t>de. dirigirse á marchas forzadas á las orillas del Buzawa. Viena 16 de noviembre. Se asegura que el Archiduque Ranerio va á encargarse de la dirección del ministerio de lo interior, ramo en que tiene mucho inñuxo desde el viage del Emperador su hermano. El valor de todos los objetos de primera nec</t>
  </si>
  <si>
    <t>Rapo, General</t>
  </si>
  <si>
    <t>General Rapo</t>
  </si>
  <si>
    <t>£1 General Fen-erolle, que mandaba una brigada de dragones, fué muerto dé un cañonazo. El intrépido General Rapo, Edecán del Emperador, recibió un furilazo estando á la cabeza de su división de dragones. Mr. Semele , Coronel del bizarro 24.0 „de línea, fué herido, y al Mariscal Augerea 11 le</t>
  </si>
  <si>
    <t>Rapp, General</t>
  </si>
  <si>
    <t>General Rapp</t>
  </si>
  <si>
    <t>del Mariscal Davoust se dirigiéron á Nasielsk. La vanguardia, cuyo mando había dado el Emperador al General Rapp, encontró á una legua deNa^ieslkal enemigo. El General Lemarrois marchó con dos Regimientos de dragones rodeando un dilatado bosque para cortar la vanguardia Rusa. Este movimiento</t>
  </si>
  <si>
    <t>Raulk, General</t>
  </si>
  <si>
    <t>General Raulk</t>
  </si>
  <si>
    <t>ernador de Stettin, ha sido degradado; el Mayor General Kñobelsdotf, degradado igualmente; el Mayor General Raulk, segando Comandante de Stettin, ha dexado el servicio; el Sargento mayor Hardenberg ha sido degradado; el Coronel Ingersleben, Comandante dé Ciistrín, condenado á ser arcabuceado;</t>
  </si>
  <si>
    <t>Raya, Juan</t>
  </si>
  <si>
    <t>Juan Raya</t>
  </si>
  <si>
    <t>ante el Sr. D. Torquato ^sAntonio Collado, teniente corregidor de esta villa, por la escribanía de D. Juan Raya ; previniéndose que:está señalado el día 30 del corriente para su remate. Por providencia del Sr. D. León de Sagasta, teniente corregidor de esta villa, se ha mandado sacar á públ</t>
  </si>
  <si>
    <t>, acuda ante el señor teniente corregidor D. Torquato Antonio Collado, por la escribanía que exerce D. Juan Raya, dentro de 30 dias contados desde el 20 del corriente. El Sr. D. Torquato Antonio Collado, teniente corregidor de esta villa, ha señalado el dia 6 de Junio próximo para el remate</t>
  </si>
  <si>
    <t>el Sr. D. Torquato Antonio Collado, teniente corregidor de esta villa, por la escribanía que exerce D. Juan Raya. Por la audiencia del señor alcalde D. Manuel María de Junco se ha mandado* sacar á pública subasta una casa que pertenece al concurso de D. Pablo Antonio Tarsis, en el real sitio</t>
  </si>
  <si>
    <t>uato Antonio Collado, teniente corregidor de ésta villa, por la escribanía de su número, que exerce D. Juan Raya* Por providencia del Sr. D. León de Sagasta, teniente corregidor de esta villa, y para pago de acreedores, se ha mandado sacar á pública subasta, por término de go dias contados d</t>
  </si>
  <si>
    <t>empedradas, en buen sitio, en 60. Quien quisiere hacer postura acuda á la escribanía del número de D. Juan Raya. AVISOS. Se halla vacante la plaza de preceptor de gramática de la villa de Sisante, provincia de la Mancha, que tiene 200 ducados de dotación sobre los propios de dicha villa: ad</t>
  </si>
  <si>
    <t>Sr. D. Torquato Antonio Collado, teniente corregidor de esta villa, por I3 escribanía del número de D. Juan Raya; y para su remate está señalado el dia 7 del corriente. En virtud de providencia del Sr. D. Francisco López Lisperguer, alcalde de casa y corte, se ha mandado sacar á pública suba</t>
  </si>
  <si>
    <t>uato Antonio Collado, teniente corregidor de esta villa, por la escribanía de su número, que exerce D. Juan Raya, dentro del término de 30 dias contados desde el 30 de octubre último. AVISOS. Se halla vacante la plaza de médico de la villa de Mugardos, reyno de Galicia: su dotación es de 400</t>
  </si>
  <si>
    <t>rqu3to Antonio Collado, teniente corregidor de esta villa, por la escribanía cícl número que cxcrce D. Juan Raya; y está señalado para su remate el día 20 de este mes. Por providencia del Sr. D. León de Sagasta, teniente corregidor de esta villa, se ha señalado gl día 21 del corriente para e</t>
  </si>
  <si>
    <t>Torquato Antonio Collado, teniente corregidor de esta villa, y escribanía de su número, que exerce D. Juan Raya, se ha señalado e! dia 7 de este mes para el remate del piso principal de la casa sita en la calle de Embaxadores de esta corte, que vuelve á la de S. Pedro, núm. 1, manz. 73 , ta</t>
  </si>
  <si>
    <t>Raymundo de Silva</t>
  </si>
  <si>
    <t>compañía á D. Luis Hiño josa, teniente del propio cuerpo; noinbrando teniente en él al subteniente D. Raymundo de Silva, y subtenientes á los sargentos primeros de granaderos D. Santiago Suarez y D. Domingo Quijano. En el batallón de milicias disciplinadas de infantería de blancos de la ciudad de V</t>
  </si>
  <si>
    <t>Raymundo Despont</t>
  </si>
  <si>
    <t>: 2 cartas inéditas de Sto. Tomas de Viilanueva: el testamento y 4 codiciios del Obispo de Valencia D. Raymundo Despont : correspondencia de varias cartas entre Inocencio iy y D. Jaymer de Aragón. Se hallará con los anteriores en el despacho de la imprenta Real, y,en Valencia en la librería de Mall</t>
  </si>
  <si>
    <t>Raymundo Montecucoli, Príncipe</t>
  </si>
  <si>
    <t>Príncipe Raymundo Montecucoli</t>
  </si>
  <si>
    <t>en la librería de Burguillos, frente al cementerio de S. Sebastian Arte universal de la guerra del Príncipe Raymundo Montecucoli: libro útil para todos los militares, con 7 planes chiquitos de fortificación: un tomo en 16. en pasta, muy cómodo para el bolsillo. Se hallará en la librería de Esparza, puerta d</t>
  </si>
  <si>
    <t>Raymundo Morales</t>
  </si>
  <si>
    <t>io Visconti; el de la santísima Trinidad de la Cava á D. Carlos Spezzapani, y el de Monte Vergine á D. Raymundo Morales, todos tres sugetos de acreditada.instruccion. FRANCIA. Varis jo de julio. El i.° de este mes se recibió en Stuttgard la importante noticia de qtle las tropas wnrtemberguesas, con</t>
  </si>
  <si>
    <t>Reai, Príncipe</t>
  </si>
  <si>
    <t>Príncipe Reai</t>
  </si>
  <si>
    <t>1183 El dia 17 se ha reunido á la guarnición de esta ciudad un cuerpo de 6S hombres , que el Príncipe Reai ha mandado pasar á Zelandia; y se esperan aun otros cuerpos, porque las noches largas facilitan la travesía por ^El^arsenal de Dinamarca era uno de los mas hermosos de Europa, y e</t>
  </si>
  <si>
    <t>Real de Badén, Princesa</t>
  </si>
  <si>
    <t>Princesa Real de Badén</t>
  </si>
  <si>
    <t>legp á está: ciudad .la Emperatriz: de- los Franceses acompañada dé' lá ítey.ná de Holánd'a'y de la Princesa Real de Badén, y se apearon en efl» palacio del Principe Primado, que había salido á recibir á Mví; Laintr^ de Sl.^tiiieíÍQstóuosaí,, yla tropa su puso, sobre las. armas* J Tildas’---------- —*</t>
  </si>
  <si>
    <t>Real de Baviera, Príncipe</t>
  </si>
  <si>
    <t>Príncipe Real de Baviera</t>
  </si>
  <si>
    <t>ceses. Permanecerá algún tiempo en Viena preso , á causa de estar su salud bastante quebrantada. El Príncipe Real de Baviera, concluidos sus viages por Francia é Italia, ha pasado por Strasburgo de vuelta de Munich. { Gazeta de Francia,) Hamburgo 1$ de Diciembre. Hace algunos dias que se habla de una ac</t>
  </si>
  <si>
    <t>e han alistado voluntariamente, y van á incorporarse con el exército confederado en Polonia. * 1 El Príncipe Real de Baviera pasó el 23rpor Darmstadt , encaminándose i Berlín; y dé ’aür irá ai exército grande Francés. : * ‘ ' Brema 20 de Diciembre. ' El-Senado ha publicado una orden haciendo saber que l</t>
  </si>
  <si>
    <t>gran Duque Constantino, el Príncipe Henrique de Prusia, el • ; • *• « ‘ t gran Duque de Berg, y el Príncipe Real de Baviera. EN LA IMPRENTA REAL.</t>
  </si>
  <si>
    <t>Real de Bayiex, Príncipe</t>
  </si>
  <si>
    <t>Príncipe Real de Bayiex</t>
  </si>
  <si>
    <t>tropas austríacas tomaron posesión de la plaza de Bráunau el dia 26 de agosto. Parece cierto que el Príncipe Real de Bayiex^ va i casarse con la Princesa Augusta de Saxonia. Según noticias de Orsova, del 20 de agosto, el nuevo Sultán Mustafá trata seriamente de sujetar y reducir la Servia. A este efect</t>
  </si>
  <si>
    <t>Real de Dinamarca y Mr, Príncipe</t>
  </si>
  <si>
    <t>Príncipe Real de Dinamarca y Mr</t>
  </si>
  <si>
    <t>inacción, quando se saben ios términos ásperos y desabridos con que acabó la conversación entre el Príncipe Real de Dinamarca y Mr. Jackson; y do pudiendo dudarse por otra parte que los dinamarqueses harán con la mayor actividad sus preparativos de defensa. El almirante Gambier, que do ignora estas circunstan</t>
  </si>
  <si>
    <t>Real de Dinamarca, Príncipe</t>
  </si>
  <si>
    <t>Príncipe Real de Dinamarca</t>
  </si>
  <si>
    <t>ste riesgo, y ha pasado ya ai Báltico. Aliona j 2 de octubre. Se asegura que el quartel general del Príncipe Real de Dinamarca va á trasladarse de Kiel á Odonsea. También se dice que los navios nuestros que hay en Noruega han apresado muchas naves de comercio inglesas. Mr. Lindholm, ayudante de S, A. el P</t>
  </si>
  <si>
    <t>la capitulación ; pero no pudo verificarse por el mal tiempo, que impidió continuar el embarco. El Príncipe Real de Dinamarca, lejos de ratificar la capitulación de Coenhague, ha prescrito nuevas medidas de severidad contra los ingleses, y S a hecho retirar de Londres á su embaxador, declarando formalmen</t>
  </si>
  <si>
    <t>osto.zzPeyman” Kiel jo de octubre. Con motivo de haberse trasladado áOdoosea el quartel general del Príncipe Real de Dinamarca, se ha conferido el mando de todas las tropas de Jutlandia, Schleswig yRendsborg ai fe Id-mariscal Principe Gáriós de Hesse. Aliona i.° de noviembre. Los ingleses salieron el dia</t>
  </si>
  <si>
    <t>los efectos que habían tomado. Parece que el ministro de estado conde de BerxistórfF acompañará ai Príncipe Real de Dinamarca , que, jasará, según dicen, ei 4¡a Be Riel á Odonsea , y de allí á Zelandia.. „ . ,, .. , ^ El elector que fué de Hesse-Cassel llegó antes de ayer a Áltona. El correo que llegó ay</t>
  </si>
  <si>
    <t>as, y los muchachos en todas partes imitan ya los juegos de los españoles. E: criben de Kiel que el Príncipe Real de Dinamarca salid de aquella ciudad para OJon-ea el 30 de octubre. La Princesa, su esposa i se ha quedado en Kiel con motivo de estar en dias de parir. El Príncipq,llegó el 30 por la noche á</t>
  </si>
  <si>
    <t>n de llegar Mr. Merry, enviado de Inglaterra, de Kiel, adonde había pasado con una comisión para el Príncipe Real de Dinamarca , el qual no ha querido darle oidos. Mr. NicholaSj vice-cónsul de Inglaterra en Petersburgo, se embarcó ayer en Gotenburgo para Londres. En el mismo puerto se han embarcado tambié</t>
  </si>
  <si>
    <t>ancia ni atención de la que merecía, y creyó que ya era tiempo de poner término á su moderación. El Príncipe Real de Dinamarca, de un carácter enérgico y noble, y dotado por la Providencia de una dignidad de alma correspondiente á la de su sangre, hizo saber al Emperador que, justamente resentido por lo q</t>
  </si>
  <si>
    <t>Real Federico, Príncipe</t>
  </si>
  <si>
    <t>Príncipe Real Federico</t>
  </si>
  <si>
    <t>Real María , Justicia , Tres coronas, Skiold, Odin, Princesa Sofía Federica-Fiama, y Marte, de 74: Príncipe Real Federico, y Príncipe heredero Federico, de 72 : Noruega, de 6‘á: Seiren , Princesa Luisa Augusta, y Dithmarschen , de 64: Príncipe Cristiano Federico, y Princesa Carolina» de 60. Diez y se</t>
  </si>
  <si>
    <t>Real María, Princesa</t>
  </si>
  <si>
    <t>Princesa Real María</t>
  </si>
  <si>
    <t>o. Veinte navios de línea. El Cristiano vil, el Valdemaro y el Neptuno, de 80 cañones .• Dinamarca, Princesa Real María , Justicia , Tres coronas, Skiold, Odin, Princesa Sofía Federica-Fiama, y Marte, de 74: Príncipe Real Federico, y Príncipe heredero Federico, de 72 : Noruega, de 6‘á: Seiren , Pri</t>
  </si>
  <si>
    <t>Real, Francisco Fernando</t>
  </si>
  <si>
    <t>Francisco Fernando Real</t>
  </si>
  <si>
    <t>memoriales, con relación de méritos, en el término de 60 dias contados desde el i.° del presente, á D. Francisco Fernando Real, escribano de su ayuntamiento, debiéndose presentar en dicha villa el dia 30 de junio próximo, en que ha de hacerse la oposición. Se halla vacante la plaza de médico de la villa d</t>
  </si>
  <si>
    <t>Redondo, Pedro</t>
  </si>
  <si>
    <t>Pedro Redondo</t>
  </si>
  <si>
    <t>esquié na á la de S. Isidro, frente'de las niñas de la Paz, núm. 1, quarto principal; y e% Cádiz á D. Pedro Redondo, interventor de las comedias» También se cambiarán por otra de igual valor en esta corte. LIBROS. Febrero adicionado ó librería de escribanos, é instrucción teóricojpráctica para</t>
  </si>
  <si>
    <t>a la canongía vacante en la colegiata de la ciudad de S. Felipe, diócesi de Valencia, por muerte de D. Pedro Redondo, á D. Fernando Muñoz Callejo, confesor y maestro de ceremonias de la de S. Ildefonso. FIN DE LA DESCRIPCION DE DINAMARCA, jDe la Noruega. El reyno de Noruega, dependiente de Dinam</t>
  </si>
  <si>
    <t>Reduan, Fernando</t>
  </si>
  <si>
    <t>Fernando Reduan</t>
  </si>
  <si>
    <t>cura párroco del Genoves: otra idem á D. Juan Artigau, de la villa y honor d;e Corbera: otra idem á D. Fernando Reduan, de Alcoy: otra idem á Manuel Artal, de Sueca: otra idem á Vicente Milla, de Mas arrasa: otra de plata á Andrés Quiles, de Albalat y Beníparrell: otra idem al P. Fr. Mariano Guard</t>
  </si>
  <si>
    <t>Regales, Joaquín</t>
  </si>
  <si>
    <t>Joaquín Regales</t>
  </si>
  <si>
    <t>al mano. = En Aranjuez á 20 de mayo de 1807. = Al decano del consejo. S. M. se ha servido nombrar á^D. Joaquín Regales para una canongía de la catedral de Lérida, vacante por muerte de D. Buenaventura Guyu y Sisear: á D. Josef Romeu para un beneficio de la parroquial de la villa de la Grahadelia,</t>
  </si>
  <si>
    <t>da, para el deanato de la colegiata de Alcañiz, en la diócesi de Zaragoza, vacante por promoción de D. Joaquín Regales á canongía de la referida iglesia de Lérida: á D. Josef Hachón Roca para un beneficio de la parroquial de Monroyo , diócesi de Zaragoza, vacante por fallecimiento de D. Jacinto Bá</t>
  </si>
  <si>
    <t>Rehapsen</t>
  </si>
  <si>
    <t>754 GRAN BRETAÑA. ^ Londres i.° de julio. Mr. Rehapsen, ministro de Suecia, pasó hace algunos dias á Mr. Can» nmg^: secretario de Estado y del De&amp;pacho de rcg cíes extrangeros, ei oficio siguiente: ,, El infrascrito ministro plecipcte</t>
  </si>
  <si>
    <t>Reich</t>
  </si>
  <si>
    <t>pital de la ciudad, ha sido menester llevar 20 heridos al militar, que es muy capaz. Allí los cuida Mr. Reich, primer cirujano de la casa, con^tanto zelo y humanidad como inteligencia, baxo la dirección de:Mr. Giraud, quien tiene orden de permanecer en Leída todo el tiempo que sea necesar</t>
  </si>
  <si>
    <t>Reig, Manuel</t>
  </si>
  <si>
    <t>Manuel Reig</t>
  </si>
  <si>
    <t>dete D. Carlos Viharejo ; y á capítan segundo en el batallón de voluntarios de Valencia al teniente D. Manuel Reig: en el de Zamora tenencia al subteniente D. Juan López, y subtenencia de bandera al sargento primero X&gt;. Antonio Linacero : en el segr-ldo batallón de infantería ligera de volunta</t>
  </si>
  <si>
    <t>Reinhard</t>
  </si>
  <si>
    <t>muy atenta, escrita á JiL. Reinhard por Mr. de Budberg-, ministro de negocios extrangeros de Rusia. Mr. Reinhard y su familia han llegado ya á Galitzia. . Francfort 28 de febrero. ; Las cartas particulares de Kiel de 16 dei corriente: dicen que el rey de Dinamarca ha nombrado á los consejeros</t>
  </si>
  <si>
    <t>Remen de Moncada, Diego</t>
  </si>
  <si>
    <t>Diego Remen de Moncada</t>
  </si>
  <si>
    <t>nto ayudantía al teniente D. Ramón Espona; y en el de húsares españoles empleo de alférez al cadete D. Diego Remen de Moneada. El captan general de Caracas, en varios oficios del mes de abril anterior, ha participado al Serenísimo Señor Príncipe Generalísimo Almirante el resultado final de la expedición</t>
  </si>
  <si>
    <t>Remen, Nicolás</t>
  </si>
  <si>
    <t>Nicolás Remen</t>
  </si>
  <si>
    <t>ancis-&lt; co Castro. En el Batallón fixó de Panamá se ha servido S. M. promover á Capitán al Ayudante D. Nicolás Remen; á esta resulta al Teniente de granaderos D. Baltasar de Ayala; á Teniente.de granaderos al de .fusileros D. Andrés Sartorio; á Tenientes de fusileros álos Subtenientes D. Pédro C</t>
  </si>
  <si>
    <t>Remhárd</t>
  </si>
  <si>
    <t>es aiiseáticás. ; Aitgsintrgo 0.$ de febrero. ’ r f Las cartas de Viena: dan algunas noticias sobré Mr. Remhárd y su xnilia &gt; que el general Michelson hizo partir de Jassy para'Rusia.. En elgó</t>
  </si>
  <si>
    <t>René de Latourdupín, Santiago Francisco</t>
  </si>
  <si>
    <t>Santiago Francisco René de Latourdupín</t>
  </si>
  <si>
    <t>ería de Calleja, calle de Majaderitos, y en Zaragoza en la de Polo y Monge. Sermones panegíricos de Mr. Santiago Francisco René de Latourdupín, predicador que fue del Rey cristianísimo, é individuo de varías academias. Obra de las mas selectas que han salido en la materia, según el dictamen de nuestros mejores oradores ,</t>
  </si>
  <si>
    <t>Renota, Francisco</t>
  </si>
  <si>
    <t>Francisco Renota</t>
  </si>
  <si>
    <t>o Aparicio ; y en el batallón de voluntarios de Baibastro el empleo de secundo ayudante al teniente D. Francisco Renota. El Rey se ha servido conferir el regimiento de caballería del Infante al coronel D. Francisco Mariano, teniente coronel del de la Reyna; y en el de Montesa tenencia al alférez D.</t>
  </si>
  <si>
    <t>Repellé, Capitán</t>
  </si>
  <si>
    <t>Capitán Repellé</t>
  </si>
  <si>
    <t>mismo dia 7 de este mes dos-embarcaciones de:guerra Inglesasdiéroncaza á un corsario mandado por el Capitán Repellé, que corréspondiócon vi-r gor á sus fuegos desde las 9 de la mañana hasta las 3 déla tarde. A esta hora pudo, situarse baxo la protección dé la batería de Ulisseghem, cuya artille</t>
  </si>
  <si>
    <t>Requejo, Gerónimo</t>
  </si>
  <si>
    <t>Gerónimo Requejo</t>
  </si>
  <si>
    <t>- ración, vacante en la iglesia catedral de Cuenca, por fallecimiento de D. Joaquín de las Heras, á D. Gerónimo Requejo: para otra media-ración del lugar de Masueco, en la diócesis de Salamanca, Vacante por muerte de D. Francisco Yañez, á D. Ignacio Juan Criado ; y para una capellanía de la real ca</t>
  </si>
  <si>
    <t>Resanow</t>
  </si>
  <si>
    <t>mo que acompañó en sus viages áMr. de Krusenstern, y que después fue á Rodjak y á la California con Mr. Resanow. Se asegura que el ministro de lo Interior conde de Kotschubey ha pedido su dimition, y que le sucederá Mr. Popow, consejero íntimo. Una fragata inglesa se ha apoderado recienteme</t>
  </si>
  <si>
    <t>Resor, Príncipe</t>
  </si>
  <si>
    <t>Príncipe Resor</t>
  </si>
  <si>
    <t>vida á Alcibíades, en la academia de Lúea. Sócrates defendiéndose ante el Areopagoen el palacio del Príncipe Resor acó , en Roma. Sócrates despidiéndose de su familia. Sócrates bebiendo la cicuta.. Sócrates rodeado de sus amigos después de su muerte. Briseida separándose de Aquiles. La muerte</t>
  </si>
  <si>
    <t>Rey Haroldo</t>
  </si>
  <si>
    <t>arios de sus Reyes, y de algunos sucesos de poca consideración. En dicho año el Rey Haroldo, hijo de Germondo el viejo, aumentó considerablemente los dominios de la corona con la adquisición de varias tierras de Jutlandia y del ducado de Hoistein, que poseia su hermano Canuto,</t>
  </si>
  <si>
    <t>Rey-iier, General</t>
  </si>
  <si>
    <t>General Rey-iier</t>
  </si>
  <si>
    <t>mbarco €e£ca de( Scila (estre-í cho de Mesina), de 2Vr3^,bon)bres, coq algy na ¡caballería; pero el General Rey-iier, que ..se íáJiíiba.. en: Paí.mj /_tnar;chü. á su enepentrp coa la tropa, j de su mando, derrotó af enemigo, y tuviérohique.epibarcarse cou precispitaCion los cortos res tóV que qu</t>
  </si>
  <si>
    <t>Reyna, Ambrosio</t>
  </si>
  <si>
    <t>Ambrosio Reyna</t>
  </si>
  <si>
    <t>allería y dragones á D. Pedro Nolasco Arenas, cándete del regimiento de dragones de Buenos-Ayres; á D. Ambrosio Reyna, idem ; á D* Francisco Bailuerca, sargento del propio cuerpo ; á D. Antonio Rodríguez, ídem; i D. Tomas Rubio, y á D. Francisco Molina, deí cuerpo de blandengues de Buenos-Ayres:</t>
  </si>
  <si>
    <t>Rez, Príncipe</t>
  </si>
  <si>
    <t>Príncipe Rez</t>
  </si>
  <si>
    <t>intensión en l$s primeros años de su residencia en Roma al estudio de los antiguos, é hizo para el Príncipe Rez— zonico, su ilustre pn tector , un Apolo coronándose de laurel. En esta estatua, aunque de mediano carácter, se notan algunos rasgos de belleza ideal, y se observa también el trán</t>
  </si>
  <si>
    <t>Rezzónico, Príncipe</t>
  </si>
  <si>
    <t>Príncipe Rezzónico</t>
  </si>
  <si>
    <t>después de este grupo, fuerou,£l. retrato del polaco Zartorinski, y el grupo de Venus y Adonis. El Príncipe Rezzónico encargó á Canova el monumento que su familia destinaba á Clemente xiix: este monumento, muy proporcionado á la capacidad del edificio en que ha de servir de adorno, se distingue al</t>
  </si>
  <si>
    <t>Rheinard</t>
  </si>
  <si>
    <t>que el Emperador Alexandro ha desaprobado fornial*.. mente la conducta de sus generales respecto de Mr. Rheinard, cónsul Francia en Ya*si, capital de Moldavia, á quien hicíéron prender y llevaji i, Rusia, y que ha dado orden de ponerlo en libertad. Continúan las malas noticias de nuestras co</t>
  </si>
  <si>
    <t>Ribas, Juan Nepomuceno</t>
  </si>
  <si>
    <t>Juan Nepomuceno Ribas</t>
  </si>
  <si>
    <t>n; á subteniente de granaderos al de fusileros agregado D. Joaquín de Ribas, de fusileros al cadete D. Juan Nepomuceno Ribas, y de bandera á D. Cayetano Cabero y D. Joaquín de Torres, capitán y teniente de urbanos de la misma provincia. Siendo cada vez mas general el deseo de conocer el nuevo sistema de</t>
  </si>
  <si>
    <t>Ribera Colechá, Juan</t>
  </si>
  <si>
    <t>Juan Ribera Colechá</t>
  </si>
  <si>
    <t>pecuniaria del premio D. Josef Escriba, D. Andrés del Val, D. Joaquín Fusell, D. Manuel Croselles, D. Juan Ribera Colechá, Doña María Vecino, Doña Manuela Taraneo, Doña Rafaela Bordenove y Doña Franca Ximenez. Continuóse publicando la adjudicación de .6 proemios ofrecidos á las escuelas y enseñanzas</t>
  </si>
  <si>
    <t>Ricafort, Vicente</t>
  </si>
  <si>
    <t>Vicente Ricafort</t>
  </si>
  <si>
    <t>al segundo D. Ferrr.in Zueco; á capitanes segundos al teniente D. Josef Espoz y al segundo ayudante D. Vicente Ricafort; á segundo ayudante al teniente, graduado de capitán, D. Pedro Villacampa; á tenientes á los subtenientes D. Miguel Fraxno y Díaz y D. Juan Fraxno y Diaz, y i subtenientes á los c</t>
  </si>
  <si>
    <t>Rico, Antonio</t>
  </si>
  <si>
    <t>Antonio Rico</t>
  </si>
  <si>
    <t>ceder en el regimiento de infantería de voluntarios de Estado tenencia al subteniente de granaderos D. Antonio Rico; y en el de voluntarios de la Corona tenencia al subteniente de granaderos D. Francisco Balanzat. ~ El Rey se ha servido conferir la tenencia coronela deí regimiento de caballería</t>
  </si>
  <si>
    <t>Rico, Manuel</t>
  </si>
  <si>
    <t>Manuel Rico</t>
  </si>
  <si>
    <t>Muert. 619 ... 2 r. Manuel Rico .......... de Salvador... Torre Campo en Jaen ... 1798 .. Presido 24 ... 11. Miguel T TUxUlo •••••• de Francisco .. Málaga.......</t>
  </si>
  <si>
    <t>Rico, Santiago</t>
  </si>
  <si>
    <t>Santiago Rico</t>
  </si>
  <si>
    <t>. M. se ha servido nombrar para la canongía vacante en la catedral de Toledo, por fallecimiento dea D. Santiago Rico, á D. Francisco Xavier Ccntrcras, oidor de la real audiencia de Extremadura, y gobernador de Iá sala del crimen de aquel tribunal: para la canongía que se halla vacante en la. cat</t>
  </si>
  <si>
    <t>Riech y Colas, Miguel</t>
  </si>
  <si>
    <t>Miguel Riech y Colas</t>
  </si>
  <si>
    <t>Josef Bilbao la Vieja; y Subtenencia de bandera en el regimiento de infantería de España al Cadete D. Miguel Riech y Colas. , En América. El Rey se ha servido nombrar para el Obispado del Pa</t>
  </si>
  <si>
    <t>Riesco, Francisco María</t>
  </si>
  <si>
    <t>Francisco María Riesco</t>
  </si>
  <si>
    <t>stos públicos festejos dirigió al muy noble ayuntamiento, por mano del caballero gobernador, el Sr. D. Francisco María Riesco, inqui&amp;idcr decano del santo tribunal de la Fe de la misma ciudad, un discurso congratulatorio en aplauso de las disposiciones acordadas con tan digno objeto, explicando en él la</t>
  </si>
  <si>
    <t>Rieseo, Ventura</t>
  </si>
  <si>
    <t>Ventura Rieseo</t>
  </si>
  <si>
    <t>de dragones de Almansa ayudantía al teniente D. Josef Pastor; y en el de Pavía tenencia al alférez D. Ventura Rieseo. En América. El rey se ha servido nombrar para una ración vacante en la catedral de Durango, por fallecimiento de D. Fernando Cortes, á D. Josef Rafael Lavarrieta; y para la media</t>
  </si>
  <si>
    <t>Riffelsen</t>
  </si>
  <si>
    <t>28 del mes próximo se hizo aquí el experimento'de una máquina para arrancar árboles, inventada por Mr. Riffelsen. El ensayo tuyo ifn éxito muy satisfactorio, pues en 24 minutos, coa un hombre solo, arrancó un roble de 3 pies y 5 pulgadas de diámetro con todas sus raíces. Se ha publicado en t</t>
  </si>
  <si>
    <t>Rigal, Francisco</t>
  </si>
  <si>
    <t>Francisco Rigal</t>
  </si>
  <si>
    <t>beneficio de la parroquial de la villa de la Grahadelia, diócesi de Lérida, vacante por renuncia de D. Francisco Rigal: á D. Pedro Piqué para un beneficio de la parroquial de S. Andrés de la ciudad de Lérida, vacante por fallecimiento de D. Ramón Fabregues: á jD. Casimiro Franco para una ración de</t>
  </si>
  <si>
    <t>Riguer y Gallegos, Francisco</t>
  </si>
  <si>
    <t>Francisco Riguer y Gallegos</t>
  </si>
  <si>
    <t>a misma diócesi de Sevilla, vacante igualmente por fallecimiento del expresado cardenal de Yorck, á D. Francisco Riguer y Gallegos. El Rey se ha servido conferir ej empleo de ayudante mayor de la brigada de artilleros de guarnición de la isla de Mallorca al teniente de la misma D. Joaquín Escandon; el de teni</t>
  </si>
  <si>
    <t>Ring, Ricardo</t>
  </si>
  <si>
    <t>Ricardo Ring</t>
  </si>
  <si>
    <t>noticias que se han recibido de la esquadra que cruza á vista del Ferrol, mandada por el conmodoro Sir Ricardo Ring, son del 13. Dicen que las fuerzas enemigas que hay en el puerto consisten en 4 navios de línea, fuera de varias fragatas y otras embarcaciones menores; y que esta esquadra trata,</t>
  </si>
  <si>
    <t>Rist</t>
  </si>
  <si>
    <t>recogerá y conducirá todos los negociantes ingleses residentes en aquel pais. Ha salido de Londres Mr. Rist, encargado de negocios de Dinamarca. Todas las noticias confirman la de que el navio Blenkeintj de 74 cañones, montado por el almirante Towbridge, ha perecido con toda su tripulac</t>
  </si>
  <si>
    <t>residiendo aqui, hacen quanto está de su parte á fia de aliviar los males inevitables de la guerra. Mr. Rist, encargado de negocios de Dinamarca en la corte de Londres, ha salido de Inglaterra: se dice qae ha llegado á Cuxhaven; y se le espera hoy en esta ciudad. En la de StraLund se ha</t>
  </si>
  <si>
    <t>Rivadulla, Francisco Xavier</t>
  </si>
  <si>
    <t>Francisco Xavier Rivadulla</t>
  </si>
  <si>
    <t>González Diez, D. Gaspar de Soto y Parga, D. Ramón Abad» D. Josef Jenér, D. Angel Selisis Palomo , D. Francisco Xavier Rivadulla y D. Gregorio Calderón y Durango: en geometría elemental D. Josef Ordavidcluz, D. Manuel Cedrón, D. Antonio Valentín Diez, D. Josef Blan*? co Atidrade, D, Juan Perfume, D. Ramón Zuazo</t>
  </si>
  <si>
    <t>Rivas, Antonio Martín</t>
  </si>
  <si>
    <t>Antonio Martín Rivas</t>
  </si>
  <si>
    <t>ayor de la ciudad de Truxillo, vacante por haber cumplido su sexenio D. Manuel Perez de los Ríos, á D. Antonio Martin Rivas.” Para un empleo de capitán de la brigada de artilleros de guarnición del departamento de Canarias se ha servido S. M. nombrar al capitán segundo de la misma brigada D. Josef Moli</t>
  </si>
  <si>
    <t>Roberto Calder</t>
  </si>
  <si>
    <t>staban en los Dardanelos fueron llamados á esta capital el dia 10. Se temia que el almirante ingles Sir Roberto Calder se aprovechase de su ausencia para intentar de nuevo el paso del estrecho con su esquadra, que ha recibido recientemente grandes refuerzos; pero hasta ahora se ha mantenido entre</t>
  </si>
  <si>
    <t>Roberto Dundas</t>
  </si>
  <si>
    <t>402 ministerio se nombran el lord Castlereagh, el lord Melville , Mr. Roberto Dundas, Mr. Perceval y otros. No se sabe quién ha podido aconsejar á S. M. una operación tan seria como trastornar totalmente la administración de sus estados en las críticas y deplorabl</t>
  </si>
  <si>
    <t>Roberto Williams</t>
  </si>
  <si>
    <t>mente el lord Castlereagh ha pedido la segunda lectura del bill^ al qual se han opuesto fuertemente Sir Roberto Williams y el coronel Stanley, sosteniendo que el sistema militar de Mr. Wiudharn era preferible por todos capítulos. Mr. Lockhart defendió el pian de los ministros, asegurándoles que sí tomab</t>
  </si>
  <si>
    <t>Robi, Juan</t>
  </si>
  <si>
    <t>Juan Robi</t>
  </si>
  <si>
    <t>luntarios de Cataluña al subteniente D. Joaquín Guijarro: en el de Asturias tenencia 2I subteniente D. Juan Robi, y subtenencia de bandera al sargento primero D. Pedro Aparicio ; y en el batallón de voluntarios de Baibastro el empleo de secundo ayudante al teniente D. Francisco Renota. El Re</t>
  </si>
  <si>
    <t>Roca y Juan, Luis</t>
  </si>
  <si>
    <t>Luis Roca y Juan</t>
  </si>
  <si>
    <t>ey se ha servido conferir la comandancia del castillo de S. Carlos de la Cabaña al teniente coronel D. Luis Roca y Juan, comandante del del Morro: esta resulta al teniente coronel D. Ignacio de Acosta, del del Príncipe: la que este dexa al teniente coronel D. Antonio Figueroa, del de Atarés; y esta</t>
  </si>
  <si>
    <t>Rocatallada, Francisco</t>
  </si>
  <si>
    <t>Francisco Rocatallada</t>
  </si>
  <si>
    <t>s de nuestro reyno, que hoy se^ hallan enteramente desnudos, y pudieran poblarse en utilidad común: D. Francisco Rocatallada sobre tos prados artificiales, acomodando las plantas de está clase á los diferentes terrenos, probando la necesidad de este recurso si se trata de extender i»-cria de ganados de</t>
  </si>
  <si>
    <t>Rodofinhki</t>
  </si>
  <si>
    <t>quier pretexto retirarse á Crcristat, en Tran ilvania, hasta ver en qué paran las cosas de su país. Mr. Rodofinhki, empleado diplomático ruso, ha tenido dos conferencias con los enviados dél Nasir de Ibra.il. Este Nasir estuvo 3 años prisionero en Rusia; se halla, en guerra con el baxá de Rusc</t>
  </si>
  <si>
    <t>Rodofinikin</t>
  </si>
  <si>
    <t>dante en gefe de los servios Cerni-Jorge, é inmediatamente tuvo una conferencia con el enviado ruso Mr. Rodofinikin, de cuyas resultas se empezó desde luego á tratar de los asuntos de la Servia en un congreso reunido con este objeto. El 17 estaban ya concluidos todos los negocios por parte de l</t>
  </si>
  <si>
    <t>y, donde se hallan Igualmente el estado mayor, el general Sergio Latcarow, y el consejera de estado Mr. Rodofinikin. En ei dia no se advierte movimiento alguno que indique la evacuación de las provincias de Moldavia y Valaquia- El exército de los servios permanece quieto en los puntos señalados</t>
  </si>
  <si>
    <t>Rodoírnikin</t>
  </si>
  <si>
    <t>ante en gefe interino de las tropas servias, recibió el 7 de este mes por un expreso,' que le-envió Mr. Rodoírnikin ,1a noticia del armisticio ajustado, por el término de 6 meses, éntre los turcos y servios. Al mismo tiempo recibió orden de retirarse de las cercanías de Widdin á la parte de acá</t>
  </si>
  <si>
    <t>Rodrigo de Oviedo</t>
  </si>
  <si>
    <t>calle de las Carretas. Las doce oraciones escogidas de M. X. Cicerón, traducidas al castellano por D. Rodrigo de Oviedo: nueva edición, corregida y mejorada por el mismo traductor. Se hallará en la librería de Sancha, calle del Lobo. Nuevo arte de nadar. Se vende en lá librería de Orea, calle de la</t>
  </si>
  <si>
    <t>Rodrigo Pascual Benítcz</t>
  </si>
  <si>
    <t>exSrmmdo y aprobado de preceptor, acuda ante D. Manuel Martínez Gil, cura párroco, y el licenciado D. Rodrigo Pascual Benítcz, abogado en dicha villa, dentro dd término de 15 dias contados desde este, quienes la proveerán en el mas benemérito. 1IBROS. El Sabio en la soledad ó meditaciones religiosas sobr</t>
  </si>
  <si>
    <t>Rodríguez Calderón, Juan Jacinto</t>
  </si>
  <si>
    <t>Juan Jacinto Rodríguez Calderón</t>
  </si>
  <si>
    <t>Cruz. El nuevo Robinson, historia moral: tomo 3.0 y 4.0, que en continuación al i.° y 2.0 escribió D. Juan Jacinto Rodríguez Calderón: 2.a edición.—.El deán de Killerine, ó sean memorias del conde de ***, escritas en francés por Mr. Prevost, y traducidas por D. J. A. V. Y. M.: 2.a edición: 4 tomos en 3.° Se hall</t>
  </si>
  <si>
    <t>Rodríguez Conchero, Pedro</t>
  </si>
  <si>
    <t>Pedro Rodríguez Conchero</t>
  </si>
  <si>
    <t>Andrés Rrzesimowski, monge benedictino cisterciense de la congregación de Polonia; y traducido por D. Pedro Rodríguez Conchero, presbítero.—Nueva edición del modo práctico y fácil de hacer una confesión general,así para alivio délos confesores como de los penitentes: contiene un examen general, que abraza</t>
  </si>
  <si>
    <t>Rodríguez de Arellano, Vicente</t>
  </si>
  <si>
    <t>Vicente Rodríguez de Arellano</t>
  </si>
  <si>
    <t>ito. Se hallará a real en la librería de Dávila, calle de las Carretas: puede ir en cartaPoesías de D. Vicente Rodríguez de Arellano, que se reducen á sonetos , letrillas , sátiras, cuentos, epigramas &amp;c.: un tomo en 12.0 de marquilla. Sé hallará en las librerías de Fuentenebro y de Orea. 0 “ EN LA IMPRENTA REA</t>
  </si>
  <si>
    <t>arretas, á 8 rs. en pasta y 6 en rústica. Las tardes de la granja: traducción libre del francés por D. Vicente Rodríguez de Arellano. Es tan general la aceptación de esta obra, y tanto el aprecio que el público la dispensa, que tenemos por excusado lo mucho que se pudiera decir en su elogio; pero creemos indisp</t>
  </si>
  <si>
    <t>Rodríguez de la Buria, Pedro</t>
  </si>
  <si>
    <t>Pedro Rodríguez de la Buria</t>
  </si>
  <si>
    <t>or de Homero, y autor de otras varias obras acreditadas. Bayona jo de octubre. El mariscal de campo D. Pedro Rodríguez de la Buria, comisionado por la corte de España para recibir al exército francés, llegó aqui el 27 para cumplimentar al general en gefe Junot. Igualmente llegó aqui ayer un cuerpo de dragones</t>
  </si>
  <si>
    <t>Rodríguez de Ledesma, Francisco</t>
  </si>
  <si>
    <t>Francisco Rodríguez de Ledesma</t>
  </si>
  <si>
    <t>imo, en su feliz exaltación á la dignidad de Grande Almirante de mar y tierra j por el Liceo* ciado D. Francisco Rodríguez de Ledesma, Diputado de la provincia de Extremadura. Se hallará en las librerías de Sancha y Castillo. ; ' ~ EN LA IMPRENTA REAL.</t>
  </si>
  <si>
    <t>na carta crítica ai Dr. D. Pedro Antonio Sánchez, canónigo de Santiago : obras escritas por el Lie. D. Francisco Rodríguez de Ledesma. Se venden en las librerías de Sancha y Castillo; en Sevilla en la de la viuda de Hidalgo y Sobrino, en Cádiz en la de Pajares, en Jaén en la de Godoy y Carrasco, y en el Ferrol e</t>
  </si>
  <si>
    <t>Rodríguez de Moya, Carlos</t>
  </si>
  <si>
    <t>Carlos Rodríguez de Moya</t>
  </si>
  <si>
    <t>ada en 139,250 rs. 8 mrs. Quien quisiere hacer postura acuda ante dicho señor, por la escribanía de D. Cárlos Rodríguez de Moya. Se vende el piso principal de la casa sita en la calle de Embaxadores, que vuelve á la de D. Pedro, núm. 10, manz. 73, tasada en 35,815; otra casa en la misma calle, núm. 2, manz</t>
  </si>
  <si>
    <t>22, tasada en 87,032 rs., el martes 15 del corriente en la audiencia de su señoría, y escribanía de D. Carlos Rodríguez de Moya. Habiéndose hecho la puja del quarto á una casa sita en la calle de Amaniel, con accesorias á la del Portillo, núm. 3, manz. 539, retasada jen 103,306 rs., que se remató en la mis</t>
  </si>
  <si>
    <t>30 dias. Quien quisiere hacerla acuda ante dicho señor alcalde , por Ja escribanía de provincia de D. Cárlos Rodríguez de Moya. AVISOS. Quien quisiere hacer obligación de surtir en el todo ó parte de 99co fanegas de ctbada y io0 arrobas de paja de trigo, que se necesitan para la manutención del ganado que</t>
  </si>
  <si>
    <t>, acuda ante el señor alcalde de corte D. Antonio Alcalá Gaiiano, por la escribanía de provincia de D. Carlos Rodríguez de Moya; previniéndose que para su remate está señalado el martes 17 del corriente. Por la audiencia del Sr. D. Torquato Antonio Collado, teniente corregidor de esta villa, se está subast</t>
  </si>
  <si>
    <t>Rodríguez Iglesias, Vicente</t>
  </si>
  <si>
    <t>Vicente Rodríguez Iglesias</t>
  </si>
  <si>
    <t>74 dad de San Roque» Campo de Gibraltar, Diócesis de Cádiz, vacante por fallecimiento de D. Vicente Rodríguez Iglesias,á D. Pedro Díaz Palacios, con la obligación que tiene anexa de residencia personal. Et Rey se ha servido conferir la Temada Coronela del Regimiento de infantería de Valencia al Co</t>
  </si>
  <si>
    <t>Rodríguez Monge, Manuel</t>
  </si>
  <si>
    <t>Manuel Rodríguez Monge</t>
  </si>
  <si>
    <t>s Nuevos de la catedral de Toledo, vacante por fallecimiento de D. Juan Francisco García Alcázar, á D. Manuel Rodríguez Monge: para el beneficio simple de lá prioral del Puerto de Santa Maiía, diócesi de Sevilla, vacante por muerte del cardenal de Yorck, á D. Fernando Marquesi , con la pensión de la terc</t>
  </si>
  <si>
    <t>mpleo de confesor del real y primer monasterio de la Visitación de Madrid, vacante por promoción de D. Manuel Rodríguez Monge á capellanía de Sres. Reyes Nuevos de Toledo, al Dr. D. Bernardo Antonio Lucio, actual penitenciario de él; y para el beneficio servidero sacristía de la parroquia de Riva de Sell</t>
  </si>
  <si>
    <t>Rodríguez Olea, Diego</t>
  </si>
  <si>
    <t>Diego Rodríguez Olea</t>
  </si>
  <si>
    <t>del paradero de D.Isidro Camaleño, natural de la villa de Reynosa , nof¡abrado heredero del difunto D. Diego Rodríguez Olea, se servirá avisarlo á D, Pedro Gutiérrez de! DcsaJ, vecino do la misma villa. Se desea saber si hay algunos parientes de Dqña Gabriela López, natural que fue de esta corte, hija</t>
  </si>
  <si>
    <t>Rodríguez, Antonio</t>
  </si>
  <si>
    <t>Antonio Rodríguez</t>
  </si>
  <si>
    <t>Buenos-Ayres; á D. Ambrosio Reyna, idem ; á D* Francisco Bailuerca, sargento del propio cuerpo ; á D. Antonio Rodríguez, ídem; i D. Tomas Rubio, y á D. Francisco Molina, deí cuerpo de blandengues de Buenos-Ayres: grado y sueldo de subteniente de infantería i, Doña Manuela la Tucumanesa* También ha</t>
  </si>
  <si>
    <t>Rodríguez, Bernardo</t>
  </si>
  <si>
    <t>Bernardo Rodríguez</t>
  </si>
  <si>
    <t>gó dé intereses, creación dé setiembre: &lt;el primero de 300 pesos, núm. 2 213 2, endosado a favor de D. Bernardo Rodríguez; y el segundo de 150, num. 144Ó80, endosado a favor dé Doña Vitoria,Ugarte*,Quien supiere su paradero, se servirá avisar en. la calle de Atocha, 'casá* tabernafren te del parador</t>
  </si>
  <si>
    <t>Rodríguez, Francisco</t>
  </si>
  <si>
    <t>Francisco Rodríguez</t>
  </si>
  <si>
    <t>aiz,sin perjuicio de este, y ántes bien con ventajas en su producción: 600rs. á Francisco Rodríguez, vecino de S. }Víartin de Vega de Ailer, por tener acreditado haber sembrado 7 dias de bueyes de tierra inculta de batatas con semilla de esta planta , y coger en dicho término 216$ faneg</t>
  </si>
  <si>
    <t>Rodríguez, Francisco Antonio</t>
  </si>
  <si>
    <t>Francisco Antonio Rodríguez</t>
  </si>
  <si>
    <t>de- Caracas; y para ayudantes i.° y 2.0 de los batallones de pardos y blancos de Valles de Aragua á Don Francisco Antonio Rodríguez y D. Josef Benzalá, ayudante segundo del de blancos de la misma ciudad, y subteniente suelto con destino á la expresada provincia. Asimismo ha nombrado S. M. teniente en el regimiento</t>
  </si>
  <si>
    <t>Rodríguez, Francisco Xavier</t>
  </si>
  <si>
    <t>Francisco Xavier Rodríguez</t>
  </si>
  <si>
    <t>? para la tesorería que este obtiene á D. Juan Mariano de Grijalba: para la ración que este dexa á D. Francisco Xavier Rodríguez; y para la media-ración que resulta vacante á D. Josef Hipólito Pagés, cura en el obispado de Maracaybo. Para las canongías doctoral y magistral de la¡ catedral de Guadalaxara» va</t>
  </si>
  <si>
    <t>Rodríguez, Jorge</t>
  </si>
  <si>
    <t>Jorge Rodríguez</t>
  </si>
  <si>
    <t>á Capitán de granaderos al de fusileros D. Lázaro Robles; á Capitanes de fusileros á los Tenientes D. Jorge Rodríguez, D. Pablo Oligos, D. Juan Nepomuceno Nuñez y D. Silvestre Díaz Granados; á Teniente de granaderos al de fusileros D. Manuel Conde ; á Tenientes de fusileros á los Subtenientes D.</t>
  </si>
  <si>
    <t>Rodríguez, Juan Rafael</t>
  </si>
  <si>
    <t>Juan Rafael Rodríguez</t>
  </si>
  <si>
    <t>e la ciudad de Guanajuato: para la doctoral de la metropolitana de Caracas^* que vacó por muerte de D. Juan Rafael Rodríguez ,.á D. Domingo .Rían—, din , racionero de la mPma iglesia. .... i,so - ^ El rey ha nombrado teniente de la primera compañía del primar. bata-j llon del regimiento de infainrería d</t>
  </si>
  <si>
    <t>Rodríguez, Julián Antonio</t>
  </si>
  <si>
    <t>Julián Antonio Rodríguez</t>
  </si>
  <si>
    <t>gastar toda especie de combustible, y se explican el usó que se .debe hacer de ella, y las Vi) Por D. Julián Antonio Rodríguez. Véndese esta obra en la librería de Gómez ¥uentenebro,-caÍie de las C,arretas. . ..</t>
  </si>
  <si>
    <t>y aumentados con notas, que contienen todas las fórmulas del movimiento, fuerzas centrales &amp;c., por Don Julián Antonio Rodriguez. Siendo bien conocido en España el distinguido mérito del autor de esta obra, será excusado todo quanto se pueda decir en elogio de ella: 4 tomos en 4.0 Se hallarán en la librería</t>
  </si>
  <si>
    <t>Rodríguez, Manuel</t>
  </si>
  <si>
    <t>Manuel Rodríguez</t>
  </si>
  <si>
    <t>cotiun exemplar dél compendio dé matemáticas .de EL Benito Bails. I&gt;. Josef Gutiérrez de -la Vega, D. Manuel Rodríguez y»5o.telo y D. Juan María Maestre y Maestre fueron ; examinados de mecánica c hidráulica, y los 3 recibiéron en :premio igual número de medallas de plata, y de exemplares dé eximen</t>
  </si>
  <si>
    <t>Rodríguez, Martín</t>
  </si>
  <si>
    <t>Martín Rodríguez</t>
  </si>
  <si>
    <t>43 ... 14. Martin Rodriguez ..• de Domingo .• Villa mayor de Sarria .... 1797.. Muert. 619 ... 2 r. Manuel Rico .......... de Salvador... Torre Campo en Jaen ... 1798 .. Presid</t>
  </si>
  <si>
    <t>Rodríguez, Pedro</t>
  </si>
  <si>
    <t>Pedro Rodríguez</t>
  </si>
  <si>
    <t>r estipendio. También contribuyeron en no pequeña parte al alivio de los salvados el mayor de línea D. Pedro Rodríguez, capitán del regimiento de infantería de España, y el teniente del de Murcia destacado en la Tunara D. Manuel Casaus, á quienes aquellos manifestaron su gratitud; pero con mayor e</t>
  </si>
  <si>
    <t>Rodríguez, Tomás</t>
  </si>
  <si>
    <t>Tomás Rodríguez</t>
  </si>
  <si>
    <t>Benito Iglesias, á cada ano la suya por ser iguales en mérito; el segundo de quatro onzas de plataá D. Tomas Rodríguez y á D. Antonio Hernández, á cada uno la suya por el mismo motivo; y el tercero de dos orzas de plata á D. Manuel del Barrio. Asimismo es la voluntad del Rey que, en atención al sobr</t>
  </si>
  <si>
    <t>rnula en el reyno animal, de una fecundación adulterina, y explicar la familia de las gramíneas: á D. Tomas Rodríguez disertar sobre el sueño de las plantas, y explicar la familia de las umbeladas: á D. Antonio Hernández disertar sobre la fecundación vegetal, y explicar la familia de los heléchos</t>
  </si>
  <si>
    <t>Roel, Agustín</t>
  </si>
  <si>
    <t>Agustín Roel</t>
  </si>
  <si>
    <t>a tarden de Santiago , del consejo de S. M. en el de O-denes, y juez comisionado de dicha rifa., de D. Agustín Roel, contador del mismo real monte , como encargado por su junta particular para intervenir en la citada rifa, y de D. Ignacio Antonio Martínez, escribano de cámara y gobierno de la s</t>
  </si>
  <si>
    <t>Roger, Benito</t>
  </si>
  <si>
    <t>Benito Roger</t>
  </si>
  <si>
    <t>rtelada en los lugares del contorno. ESPAÑA. Madrid 18 de setiembre. S. M. se lia servido nombrar á D. Benito Roger para un beneficio titulado de Ntra. Sra. de los sastres, vacante en la metropolitana de Tarragona, por promoción de X). Pablo Domingo y Avnau á la canongía doctoral de aquella mis</t>
  </si>
  <si>
    <t>Roh, Francisco</t>
  </si>
  <si>
    <t>Francisco Roh</t>
  </si>
  <si>
    <t>teniente de granaderos D. Tomas Metzger: en el de Preux á subteniente de granaderos al de fusileros D. Francisco Roh,y á subteniente de bandera afe ‘argento primero D. Pedro Hehn. El Rey se ha servido conferir el empleo de sargento mayor del regimiento de caballería de Calatrava ai teniente coro</t>
  </si>
  <si>
    <t>Roig, Antonio</t>
  </si>
  <si>
    <t>Antonio Roig</t>
  </si>
  <si>
    <t>iudad de Calatayud, obispado de Tarazo na ,* vacante por fallecimiento de D. Francisco Mallorcas: á D. Antonio Roig para la canongía magistral de la catedral de Mallorca, vacante por muerte de D. Antonio Nicolás Lobo:á Do® Silvestre Navarro para el canonicato priorato primera silla dé la colegi</t>
  </si>
  <si>
    <t>Roiissel, General</t>
  </si>
  <si>
    <t>General Roiissel</t>
  </si>
  <si>
    <t>l Mariscal Bessieres elogia mucho á, Ls Genérales Grouchy, Rouget, y al ^Gefe de su Estado mayor el General Roiissel. El Comandante de esquadron Renié , del Regimiento de dragones núm. ó, se ha distinguido mucho. Mr. Launay , Capitán de Ja compañía escogida del mismo Regimiento,, ha sido, muerto</t>
  </si>
  <si>
    <t>RoIlés</t>
  </si>
  <si>
    <t>opiniones, ó por mejor decir las preocupaciones chinescas, quieren una víctima. El capitán dél Lyoh»Mr. RoIlés»quedaba haciendo todos los esfuerzos posibles para aquietar al gobierno» y terminar estas diferencias pacíficamente» como seesperaba. Los mismos diarios refieren que no hay modo d</t>
  </si>
  <si>
    <t>Romagosa, Francisco</t>
  </si>
  <si>
    <t>Francisco Romagosa</t>
  </si>
  <si>
    <t>n de la isla de Mallorca al teniente de la misma D. Joaquín Escandon; el de teniente al subteniente D. Francisco Romagosa, y el de subteniente al teniente D. Antonio Gil y Mas, segundo ayudante de la plaza de Palma. En atención á los méritos y servicios de D. Ramón Jove Dasmariñas y Navia, regidor pe</t>
  </si>
  <si>
    <t>Román Malo</t>
  </si>
  <si>
    <t>otros 200. Los pretendientes dirigirán sus memoriales al ayuntamiento de dicha villa, por medio de D. Román Malo, escribano del número de ella; previniéndose que se ha de proveer en todo el presente mes de julio. 1IBROS. Paulini Phelucci á S. Josepho lucehsis clef. reg. scholarum piarum, et</t>
  </si>
  <si>
    <t>Romaña, Lorenzo</t>
  </si>
  <si>
    <t>Lorenzo Romaña</t>
  </si>
  <si>
    <t>nencia al Subteniente de granaderos D. Nicolás de Castro Palomino: en el de Jaén Tenencia at Cadete D. Lorenzo Romaña; y el empleo de Capitán primero en el batallón de Voluntarios de Valencia ai primer Ayudante D. Josef Vidal. El Rey se ha servido conferir Compañía en el regimiento de infantería</t>
  </si>
  <si>
    <t>Romana, Lorenzo</t>
  </si>
  <si>
    <t>Lorenzo Romana</t>
  </si>
  <si>
    <t>a anterior se dice que S. M. ha conferido Tenencia en el regimiento de infantería de Jaén al Cadete D. Lorenzo Romana; /y debe ser Subtenencia de bande?'a. A consequsncia de Lo acordado por la comisión gubernativa de consolidación de vales reales se ha mandado sacar á pública subasta por 12 dias</t>
  </si>
  <si>
    <t>Romantzoff</t>
  </si>
  <si>
    <t>sabido por menor todo lo relativo á la conquista de Copenhague. Por otra parte, el nombramiento de Mr. Romantzoff para ministro de negocios extrangeros, es otra prueba nada equívoca de la poca armonía del gabinete ruso con el de Londres, pues ya se sabe que este ministro no es del gusto de lo</t>
  </si>
  <si>
    <t>Romberg, Teniente General</t>
  </si>
  <si>
    <t>Teniente General Romberg</t>
  </si>
  <si>
    <t>gento mayor Pruscbenk, que mandaba la fortaleza de Peterberg, en Erfurt., ha dexado el servicio; el Teniente General Romberg, Gobernador de Stettin, ha sido degradado; el Mayor General Kñobelsdotf, degradado igualmente; el Mayor General Raulk, segando Comandante de Stettin, ha dexado el servicio; el Sar</t>
  </si>
  <si>
    <t>Romero Valdes, Andrés</t>
  </si>
  <si>
    <t>Andrés Romero Valdes</t>
  </si>
  <si>
    <t>Isla , al Sr. D Alfonso Duran y Barazabal, alcalde de su real casa y corte ; y para esta resulta á D. Andrés Romero Valdes , oidor de la real audiencia de Cataluña: para la plaza de oidor de la chancíllería de Valladolid, vacante por promoción de D. Josef.de Villa y Torre á la regencia de 1» real audi</t>
  </si>
  <si>
    <t>Romero Valdés, Andrés</t>
  </si>
  <si>
    <t>Andrés Romero Valdés</t>
  </si>
  <si>
    <t>a servido nombrar para la plaza de oidor de la real audiencia de Cataluña, vacante por promoción de D. Andrés Romero Valdés á plaza de alcalde de k real casa y corte, á D. Pedro Pablo Beltran, alcalde del crimen mas antiguo de aquel tribunal; y para esta resulta á D. Josef ViUanuevá y Arévalo, substitu</t>
  </si>
  <si>
    <t>Romero y Agredano, Tomás María</t>
  </si>
  <si>
    <t>Tomás María Romero y Agredano</t>
  </si>
  <si>
    <t>Por decreto de 20 de setiembre próximo pasado, dirigido á la cámara, ha venido el Rey en admitir á D. Tomas María Romero y Agredano la renuncia que ha hecho de la plaza de fiscal del crimen de ia chancilleua de Granada, que tuvo á bien conferirle por otro decreto de 5 de julio úlrimo; y ha nombrado S. M. para ia</t>
  </si>
  <si>
    <t>Romero y Alpuente, Francisco</t>
  </si>
  <si>
    <t>Francisco Romero y Alpuente</t>
  </si>
  <si>
    <t>Tarazona: á D. Andrés Bayon, Inquisidor de Murcia, para una Canongía de la catedral de Orihuela: á D. Francisco Romero y Alpuente para la dignidad de Chantre de la catedral de Te• mel : á D. Bernardo Sánchez Hidalgo para la Capellanía real de la colegial de Borja, diócesis de Tarazona; y á D. Juan Gallisa y</t>
  </si>
  <si>
    <t>Romero, Andrés</t>
  </si>
  <si>
    <t>Andrés Romero</t>
  </si>
  <si>
    <t>hecho postura en el todo dé su tasación á vales reales. Quien quisiere mejorarla, acuda ante el Sr. D. Andrés Romero, alcalde de casa y corte, por la escribanía de provincia de D. Juan Garrido. Quien quisiere comprar 180 cabezas de ganado vacuno de todas clames, una mula y un caballo para el may</t>
  </si>
  <si>
    <t>Romero, Lucas María</t>
  </si>
  <si>
    <t>Lucas María Romero</t>
  </si>
  <si>
    <t>se en las librerías de Castillo y de Barco. Lecciones de aritmética puestas en forma de diálogo por D. Lucas María Romero, maestro de primeras letras en el real sitio de S. Ildefonso. Se hallarán en la librería de Ranz, calle de la Cruz. x Discurso político dirigido al parlamento ingles á nombre de M</t>
  </si>
  <si>
    <t>e la comisión de literatos del mismo instituto: el capitán del regimiento de Toledo D. Diego Carta: D. Lucas María Romero, maestro de primeras letras del real sitio de S. Ildefonso: D. Tomas de NenclaresPalacios, oficial de la dirección general de reales provisiones: D. Félix Tornero del Aguila , mae</t>
  </si>
  <si>
    <t>Romero, Miguel</t>
  </si>
  <si>
    <t>Miguel Romero</t>
  </si>
  <si>
    <t>Josef María Araujo: en el die Pavía empleo de portaguión al sargento primero, graduado de alférez, D. Miguel Romero; y en el de Lusrtania ayudantía al teniente D. Josef Zamora. El Rey se ha servido conferir, el gobierno .militar; y político de Castellón de la Plana al coronel D. Pedro Lobo y Ar</t>
  </si>
  <si>
    <t>Rook, Jorge</t>
  </si>
  <si>
    <t>Jorge Rook</t>
  </si>
  <si>
    <t>las suyas, habian emprendido expediciones sin tener instrucciones previas; y entre otros citó el de Sir Jorge Rook, el qual atacó á Gibraltar quando era de los españoles sia tener orden para hacerlo: el del lord Hood, que en 1793 entró en Tolon, y después marchó contra Córcega aunque no tenia</t>
  </si>
  <si>
    <t>Roque Albas</t>
  </si>
  <si>
    <t>• Muert. Cabo 2.- Roque Albas.......... de Roque ...... Cat.rrocha· en Valcncia., 1795" Licenc. .. .... ru.2.0 Tomas Perez.......</t>
  </si>
  <si>
    <t>Roque Jacintode Sa</t>
  </si>
  <si>
    <t>a calle de Sistun de ella, únicas piezas que quedaron pertenecientes á la testamentaría del difunto D. Roque Jacintode Sa!azar,vicario que fue de la iglesia parroquial de la misma, y especialmente al capellán que fuere de 1&amp; que fundó en ella D. Miguel de Albis,para que dentro del término de 30 dias,</t>
  </si>
  <si>
    <t>Ros de Medrano, Manuel</t>
  </si>
  <si>
    <t>Manuel Ros de Medrano</t>
  </si>
  <si>
    <t>estos por Mr. Vernet para la instrucción del Príncipe de Saxonia-Gota; traducidos al castellano por D. Manuel Ros de Medrano*. un tomo en 8.° Se hallarán en la librería de Munita, calle de las Carretas. Septenario de dolores de María santísima: su autor el Mtro. Fr. Sebastian Sánchez Sobrino: tomo 11. S</t>
  </si>
  <si>
    <t>Ros, Miguel</t>
  </si>
  <si>
    <t>Miguel Ros</t>
  </si>
  <si>
    <t>Don Miguel Martí y Prats-para un beneficio de la catedral ule Gerona, vacante por fallecimiento de D. Miguel Ros, y por no haber tenido efecto el nombramiento hecho para este mismo beneficio en D. Jaynie Donay: á D. Pedro Antonio Mallafre para otro beneficio de la metropolitana de Tarragona,</t>
  </si>
  <si>
    <t>Rosa Calvez de Cabrera, María</t>
  </si>
  <si>
    <t>María Rosa Calvez de Cabrera</t>
  </si>
  <si>
    <t>de S. Felipe, y en la de Cerro, calle de las Carretas, á 3 rs. Puede ir en carta. Obras poéticas de Doña María Rosa Calvez de Cabrera: g tomos en 8.° mayor. Es bien conocido el mérito de esta célebre española para que nos detengamos en ponderar sus obras: el público aplaudió en el teatro sus composiciones dramát</t>
  </si>
  <si>
    <t>Rosa de Udías y del Castro</t>
  </si>
  <si>
    <t>mírez, Doña Micaela Pini, D. Juan Antonio Gutiérrez, Doña Francisca del Castillo, Manuela Martínez, Doña Rosa de Udías y del Castro, D. Juan María Noriega, Doña María Catania Vallarina de Arenzano, D. ManueL de Ortega, D. Agustín Ximenez y D. Antonio Ccvallcs; y mediante á que sin embargo de las muchas diligen</t>
  </si>
  <si>
    <t>Rosarte, Isidoro</t>
  </si>
  <si>
    <t>Isidoro Rosarte</t>
  </si>
  <si>
    <t>estación de sus méritos, y en consideración á la antigua nobleza de su linage. Por fallecimiento de D. Isidoro Rosarte se ha servido S. M. nombrar secretario de la real academia de S. Fernando á D. Josef Luis Munarriz: lo que se previene á fin de que los pueblos, cabildos, iglesias, conventos y de</t>
  </si>
  <si>
    <t>Rose</t>
  </si>
  <si>
    <t>mo el duque de Portland no puede por su ancianidad aplicarse mucho á los negocios, se piensa que "s Mr. Rose será quizá canciller del eckhjiáer, en cuyo caso seria realmente primer ministrer- Hay quien asegura que Mr. Canning tendrá el despacho de los negocios extrangeros. Entre los dema</t>
  </si>
  <si>
    <t>do que la junta dé cuenta del estado de sus tareas £ la cámara de tiempo en tiempo. El i.° de julio Mr. Rose presentó un bilí para restablecer en todo su vigor el relativo al comerció americano. A propuesta de Mr. Huskisson ha decretado la cámara que se haga una representación á S. M. su</t>
  </si>
  <si>
    <t>para hacerse á la vela, y que se supone deben juntarse con la esquadra de Tolon. Parece cierto que Mr. Rose lleva el encargo de proponer á los americanos ciertas indemnizaciones con tal que renuncien al comercio con Francia: la execucion de las leyes relativas á nuestra navégacion se su</t>
  </si>
  <si>
    <t>Rose, Jorge</t>
  </si>
  <si>
    <t>Jorge Rose</t>
  </si>
  <si>
    <t>ientos que se forman en el distrito de Bialistok, cedido i la Rusia por el tratado de paz de TUsir. Mr. Jorge Rose acaba de salir con una comisión particular para los Estados-Unidos. Mr. Monroe se ha embarcado hoy mismo, para su país en la corbeta Augusta. Estos días había corrido la voz de qu</t>
  </si>
  <si>
    <t>Roselló, Marcos Ignacio</t>
  </si>
  <si>
    <t>Marcos Ignacio Roselló</t>
  </si>
  <si>
    <t>Pedro Vicente Yañez para la canongía que aquel obtiene, y resultará vacante en la misma iglesia: á D. Marcos Ignacio Roselló para una canongía de la catedral de Mallorca, vacante por fallecimiento de D. Mariano Roselló: áDon Lorenzo Marco para un beneficio'de la parroquial de Santiago de Zaragoza, vacan</t>
  </si>
  <si>
    <t>Rosendo Salgado y Cárdenas</t>
  </si>
  <si>
    <t>o cuerpo D. Miguel de los Ríos ; y en los de León y Princesa subtenencias de ban* deraá los cadetes D. Rosendo Salgado y Cárdenas y D. Josef Bailes de la Torre: asimismo ha conferido en el de Ñapóles compañía al ayudante gira* duado de capitán D. Ignacio Balanzat: en. el de Burgos tenencia al subteniente de gran</t>
  </si>
  <si>
    <t>Rosi, Santiago</t>
  </si>
  <si>
    <t>Santiago Rosi</t>
  </si>
  <si>
    <t>tán al teniente D. Domingo Viten; á teniente al alférez D. Manuel Novales ; á alférez al portaguión D. Santiago Rosi, y á esta resulta á D. Pedro Martínez Delgado , vecino de la jurisdicción del mismo cuerpo. En cumplimiento de las reales cédulas de 15 de julio y 29 de noviembre de 1797? se reci</t>
  </si>
  <si>
    <t>Roure, Manuel</t>
  </si>
  <si>
    <t>Manuel Roure</t>
  </si>
  <si>
    <t>onet para la doma de Vulpeollach, en la diócesi de Geronaj vacante por muerte de D. Antonio Sala: á D. Manuel Roure— ra para una ración de la catedral de Roda, diócesi de Lérida, vacante por promoción de D. Ignacio Garces y Perez á canongía de la misma catedral. En América. En el regimiento de</t>
  </si>
  <si>
    <t>Róuvro</t>
  </si>
  <si>
    <t>desembarcó en Catania. Miranda estaba todavía el 27 de noviembre en la Trinidad, y había enviado á Mr. Róuvro^, uno de sus oficiales, á pedir socorros á Inglaterra. Según los estados que se han remitido al parlamento, el número de voluntarios- en la Gran Bretaña es en la actualidad de 294</t>
  </si>
  <si>
    <t>Rovira, Antonio</t>
  </si>
  <si>
    <t>Antonio Rovira</t>
  </si>
  <si>
    <t>aría Fiorenses, difuntos. Quien supiere de él, se servirá comunicarlo al Dr. D. Antonio Rovira, presbítero, dqmero y deán de la referida ciudad de Cervera, testamentario subrogado para dar el destino correspondiente .á los haberes que dexsrcn. En la villa. de Villafranca.de Navarra se</t>
  </si>
  <si>
    <t>Rovira, Luis</t>
  </si>
  <si>
    <t>Luis Rovira</t>
  </si>
  <si>
    <t>Beuna para una canongía de la colegiata de S. Feliu de la ciudad de Gerona, vacante por dimisión de D. Luis Rovira i’ á7 D. Jayméf Bonay y Corrioi parfi un beneficio de la catedral de Gerona, vacante pór muer té'de D. Miguel’ Rós *. U D. Josef Vilar para otro beneficio1 dé la parrbquulde S. Pe</t>
  </si>
  <si>
    <t>Roxo de Flores, Felipe</t>
  </si>
  <si>
    <t>Felipe Roxo de Flores</t>
  </si>
  <si>
    <t>a de Calleja,calle ele Majaderitos; eh Granada en la de Moreno, en Seyilla y en Barcelona. Obras de D. Felipe Roxo de Flores: Eloqiiencia forense, interesante por sü objeto á los que se exercitan en los tribunales. = Eloqiiencia militar, obra original' en su clase. Sentencias del incoiy.parable Tito Liv</t>
  </si>
  <si>
    <t>Royo, Gregorio</t>
  </si>
  <si>
    <t>Gregorio Royo</t>
  </si>
  <si>
    <t>escuadrones de dragones de S. Miguel á D. Antonio Culebras, de Yoro á D. Juan Dengo, de Sonsonate á D. Gregorio Royo, de Nueva-Segovia á D. Francisco Texedor, todos sargentos primeros veteranos de los mismos cuerpos. S. M. se ha servido conferir el gobierno militar y político de la isla de la Ma</t>
  </si>
  <si>
    <t>Royo, Manuel</t>
  </si>
  <si>
    <t>Manuel Royo</t>
  </si>
  <si>
    <t>iscurso que^ leyó et primer maestro Don Cayetano Fernandez VillamiL Fueron examinados en aritmética D. Manuel Royo, D. Josef Mes, D. Bernardo Becerra, D.Josef Carrero, D. Ramón Eiroa, D. Ramón Suazo, D. Antonio Valentín Díaz, D. Josef Hordavidalnz, D. Lorenzo Cedrón, D. JuanPefundely D. Manuel</t>
  </si>
  <si>
    <t>, Juan Perfume, D. Ramón Zuazo y el referido Soto y Parga: eri geometría práctica D. Josef Carrero, D. Manuel Royo, D. Ramón JEiroa, y los citados Ordavideluz , Cedrón , Valentín Diez, Blanco Andrade y Perfume; habiendo asimismo explicado1, el uso de los instrumentos náuticos los referidos Car</t>
  </si>
  <si>
    <t>Royo, Pedro</t>
  </si>
  <si>
    <t>Pedro Royo</t>
  </si>
  <si>
    <t>ubteniente D. Eugenio Godos; y en el de las Ordenes Militares tenencia al subteniente de granaderos D. Pedro Royo. El rey se ha servido conferir la tenencia Coronela del regimiento de dragones de Pavía al teniente coronel D. Pedro del Castillo, sargento mayor del de dragones de Lusitama, y es</t>
  </si>
  <si>
    <t>Roza y Seixas, Antonio</t>
  </si>
  <si>
    <t>Antonio Roza y Seixas</t>
  </si>
  <si>
    <t>la dignidad de prior Da Coba y canongía unida de la catedral de Lugo, vacante por fallecimiento de D. Antonio Roza y Seixas, á D. Manuel Fernandez Várela, abad electo del Ferrol, en la diócesi de Mondoñedo: para la canongía-de la ¿colegiata de Sta. Fe de Granada, vacante por renuncia de D. Martín de Lu</t>
  </si>
  <si>
    <t>Rrebel, Capitán</t>
  </si>
  <si>
    <t>Capitán Rrebel</t>
  </si>
  <si>
    <t>pormenores.__ Rozan ~ de Diciembre de 1806. = Firmado, Benigsen. El corsario Marsouin, de St. Malo, Capitán Rrebel, ha entrado en nuestros puertos con dos bergantines ingleses Laster of Pool y Jericho, cargados el i.° de bacalao, y el 2.0 de azúcar, cacao, algodón, caoba &amp;c. Los corsarios Spec</t>
  </si>
  <si>
    <t>Rubel, Matías</t>
  </si>
  <si>
    <t>Matías Rubel</t>
  </si>
  <si>
    <t>de Wimpífen á D. Francisco Manuel Schwaller, capitán agregado al mismo, y á teniente al subteniente D. Matías Rubel: en el dé Traxler á capitán primero al de granaderos D. Josef Zelger ; á capitán de granaderos al capitán segundo D. Francisco Bally, y á capitán segundo al teniente~de granaderos</t>
  </si>
  <si>
    <t>Rubiano, Manuel</t>
  </si>
  <si>
    <t>Manuel Rubiano</t>
  </si>
  <si>
    <t>ña Catalina Germán y Hugalde. En Murcia............ Sres. Moreda y Ladalid. En Oviedo.............. D. Manuel Rubiano. En Patencia........ . Viuda de D. Nicolás Calonge é hijo mayor. En Palma............. D. Martin Mayol. En Pamplona....... Sres. viuda de Barbería é hijo. En Salamanca...... Sres.</t>
  </si>
  <si>
    <t>Rubianó, Manuel</t>
  </si>
  <si>
    <t>Manuel Rubianó</t>
  </si>
  <si>
    <t>.. Doña Catalina Germán f Hugaldé. En Murcia..... ...... Sres. Moreda y Ladalkh En Oviedo.......... D. Manuel Rubianó.</t>
  </si>
  <si>
    <t>ña Catalina Germán y Hugalde.En Murcia........... . Sres.. Moreda y Ladálid. En Oviedo........... . D. Manuel Rubiano.En Patencia........Viuda de D. Nicolás Calónge é hijo mayor.' En Palma........... IX Martin Mayol. En Pamplona........ Sres. viuda- de Barbería é hijo.En Salamanca*..... Sres. Urr</t>
  </si>
  <si>
    <t>Rubín de Celis, Miguel</t>
  </si>
  <si>
    <t>Miguel Rubín de Celis</t>
  </si>
  <si>
    <t>a. 2 dracmas dé la calisaya. El primero que en cantidad considerable traxp á España la calisaya fué D. Miguel Rubín de Celis; y de respltas^cfesu. presentación ai ministerio, y de los prontos y. admirables efectos que sr expstim$nt;áran de, su uso, mandó el Sr, Rey D. Cárlos ni, en 27 de julio efe 1787,</t>
  </si>
  <si>
    <t>dos dracmas de la calisaya. El primero que en cantidad considerable traxo á España la calisaya fue D. Miguel Rubín de Celis; y de resultas de su presentación al Ministerio, y de los prontos y admirables efectos que se experimentáron de su uso, mandó el señor D. Cárlos III en 27 de Julio de 1787 se fome</t>
  </si>
  <si>
    <t>Rubio, Joaquín</t>
  </si>
  <si>
    <t>Joaquín Rubio</t>
  </si>
  <si>
    <t>D. Joaquín Rubio. Asimismo lia conferido el empleo de sargento mayor del regimiento de infantería de Granada al capitán del de Soria, graduado de teniente coronel, D, Juan María Angulo. En América</t>
  </si>
  <si>
    <t>Rubio, Tomás</t>
  </si>
  <si>
    <t>Tomás Rubio</t>
  </si>
  <si>
    <t>eyna, idem ; á D* Francisco Bailuerca, sargento del propio cuerpo ; á D. Antonio Rodríguez, ídem; i D. Tomas Rubio, y á D. Francisco Molina, deí cuerpo de blandengues de Buenos-Ayres: grado y sueldo de subteniente de infantería i, Doña Manuela la Tucumanesa* También ha concedido S. M. cruces d</t>
  </si>
  <si>
    <t>Ruchel, General</t>
  </si>
  <si>
    <t>General Ruchel</t>
  </si>
  <si>
    <t>del Rey de Prusia se compone de las personas siguiente» El General Zastrow, Ministro de Estado. El General Ruchel, enfermo todavía de la herida que recibió en la batalla de Jena, Ministro de la Guerra. El Presidente Sagebarthe, Ministro de lo Interior. Las fuerzas actuales de la monarquía pru</t>
  </si>
  <si>
    <t>Ruftao Blanco, Antonio</t>
  </si>
  <si>
    <t>Antonio Ruftao Blanco</t>
  </si>
  <si>
    <t>r maestro director D. Cayetano Fernandez Villamil. Fueron examinados en aritmética D. Ramón Covian, D. Antonio Ruftao Blanco, D. Josef Montes , D. Josef Luanco, D. Matías Espantoso» D. Andrés González Diez, D. Gaspar de Soto y Parga, D. Ramón Abad» D. Josef Jenér, D. Angel Selisis Palomo , D. Francisco</t>
  </si>
  <si>
    <t>Ruiz de Castilla, Conde</t>
  </si>
  <si>
    <t>Conde Ruiz de Castilla</t>
  </si>
  <si>
    <t>y político , y comandancia general del reyno de Quito, con la presidencia de la real audiencia, al Conde Ruiz de Castilla, teniente general de los reales exércitos. Asimismo há conferido el gobierno militar y político, é intendencia de la provincia de Chiapa al intendente honorario de provincia, D. T</t>
  </si>
  <si>
    <t>Ruiz de Gaona, Manuel</t>
  </si>
  <si>
    <t>Manuel Ruiz de Gaona</t>
  </si>
  <si>
    <t>Cómo se llama,dé dónde es natural, quál es su oficio, profesión y religión: ; - Responde. Se llama D. Manuel Ruiz de Gaona, natural de la provincia -dé Alava; su exercicio del Comercio de Buenos-Ay res, donde ha residido -cerca de 2a años, aunque ha hecho dos víages á Europa en este tiempo; y -que es</t>
  </si>
  <si>
    <t>Ruiz de la Pina, Alonso</t>
  </si>
  <si>
    <t>Alonso Ruiz de la Pina</t>
  </si>
  <si>
    <t>te Martinelli: 3.a edición, corregida y aumentada por el mismo autor, y traducida al castellano por D. Alonso Ruiz de la Pina: 2 tomos en 8.° Se hallarán en la librería de la viuda de Barco López, calle de la Cruz. Carta de Julia á Ovidio. Se hallará á 2 rs. en la librería de Fuentenebro, en la de Orea y</t>
  </si>
  <si>
    <t>Ruiz de Otaño, Pedro</t>
  </si>
  <si>
    <t>Pedro Ruiz de Otaño</t>
  </si>
  <si>
    <t>Pérez* Gatvez* y a portaestandartes al cadete D. Josef Apolinario Quixano y í&gt;. Pedro Ruiz de Otaño, vecino de la demarcación del regimiento. Asimismo se ha servido el Rey conferir el gobierno del castillo de San Carlos del Perote en Nueva-España , y* él'grado dé cUrónel de infantería,</t>
  </si>
  <si>
    <t>Ruiz del Castillo, Juan</t>
  </si>
  <si>
    <t>Juan Ruiz del Castillo</t>
  </si>
  <si>
    <t>, un vale de 150 pesos de la creación de setiembre, renovado con el nám. 180873, lleno en cabeza de D. Juan Ruiz del Castillo, á la ciudad de Granada á D. Leovigildo de la Oliva, presbítero en dicha ciudad. Adjunto remitió el recibo de los intereses de dicho vale para tomar la firma del interesado, el qu</t>
  </si>
  <si>
    <t>Ruiz Huidobro, Joaquín</t>
  </si>
  <si>
    <t>Joaquín Ruiz Huidobro</t>
  </si>
  <si>
    <t>vio al de fragata D. Juan Gutiérrez de ¡ta Concha : d capitanes de fragata á los tenientes de navio D. Joaquín Ruiz Huidobro, D. Juan de Vargas, D. Tomas Blanco Cabrera yD.Angel de Mlcbelena: id tenientes de navio á los de fragata D. Josef dejCórdoba y Rúxás ? Di Cándido. de la Sala, D. ¡Josef de Posada</t>
  </si>
  <si>
    <t>Ruiz Lorenzo, Fernando</t>
  </si>
  <si>
    <t>Fernando Ruiz Lorenzo</t>
  </si>
  <si>
    <t>yro de las Cafas y Malignado», D. Juan de Mata Marina Arnaiz y León, D. Víctor Duro.Saenz y Solano, D. Fernando Ruiz Lorenzo y^Ruiz, D. Francisco Brias Aguilera y Ulloa, D. Josef Betbecé Llano y Marroco, D. Fulgencio de Toro Suarez y Figueroa, D. Andrés Costa y, Mut, D- Manuel Guillelmi Valeñzuela y Andra</t>
  </si>
  <si>
    <t>Ruiz y García, Antonio</t>
  </si>
  <si>
    <t>Antonio Ruiz y García</t>
  </si>
  <si>
    <t>a villa de Torre-Perogil, en la diócesi de Jaén, vacante por muerte de D. Tomas Muñoz Montenegro, á D. Antonio Ruiz y García. El rey se ha servido conferir el empleo de teniente coronel del regimiento de infantería del Príncipe á D. Manuel María Trevijano, comandante del tercer batallón del de Asturias.</t>
  </si>
  <si>
    <t>Ruiz, Bartolomé</t>
  </si>
  <si>
    <t>Bartolomé Ruiz</t>
  </si>
  <si>
    <t>do, avisará en Madrid á D. Josef Trago, cirujano en la calle del Bonetillo, y en el Burgo de Osma á D. Bartolomé Ruiz , cirujano del cabildo. Se halla vacante la plaza de sangrador de la villa de Chozas de Canales, distante £ leguas de Madrid, y 5 de Toledo: su dotación es de 10 rs. diarios, y ti</t>
  </si>
  <si>
    <t>Ruiz, Estéban</t>
  </si>
  <si>
    <t>Estéban Ruiz</t>
  </si>
  <si>
    <t>réstamo de la Parroquial de la villa de Utande, Diócesis de Sigiienza¿ vacante por fallecimiento de D. Estéban Ruiz, á D. Manuel González, Penitenciario del Colegio de la Presentación de nuestra Señora de la villa de Madrid, con las cargas que tiéhe anexas de residencia personal, ayudará! Párro</t>
  </si>
  <si>
    <t>Ruiz, Francisco</t>
  </si>
  <si>
    <t>Francisco Ruiz</t>
  </si>
  <si>
    <t>mientos de infantería de la Princesa, voluntarios de Estado y Ñápeles, tenencias á los subtenientes D. Francisco Ruiz, D. Juan Manuel Vázquez y D. Manuel Pascual Ballester; y subtenencias de bandera en el mismo de la Princesa al cadete D.-Hipólito López de Angulo, y en el de voluntarios de la Cor</t>
  </si>
  <si>
    <t>Ruiz, Jacinto</t>
  </si>
  <si>
    <t>Jacinto Ruiz</t>
  </si>
  <si>
    <t>enlos de infantería de Irlanda» voluntarios de Estado y Ñapóles á los subtenientes D. Juan Naghten, D. Jacinto Ruiz y D. Juan Josef Arríete; y subtenencias de bandera en el de Cantabria al sargento primero D. Francisco Casalbon , y en el expresado de Ñapóles al cadete D. Ramón Lacaile. En el regimi</t>
  </si>
  <si>
    <t>Ruiz, Pedro</t>
  </si>
  <si>
    <t>Pedro Ruiz</t>
  </si>
  <si>
    <t>la capellanía de Reyes Nuevos de la catedral de Toledo, vacante por muerte de D. Joaquín Morago, á D. Pedro Ruiz, cura párroco de la villa de Bustarviejo en el mismo arzobispado: para el préstamo de la parroquia de la villa de Belvis de1 Monroy en la diócesis de Plasencia, vacante por fallec</t>
  </si>
  <si>
    <t>Ruperto Mier</t>
  </si>
  <si>
    <t>niente al subteniente de granaderos D. Juan de Lexarza; á subteniente de granaderos al de fusileros D. Ruperto Mier, y á subtenientes al sargento primero distinguido D. Francisco Prats y al soldado distinguido D. Vicente Legorburo. .. ........... ■ .1 ............ —i.. .... i ■ n i i ..........</t>
  </si>
  <si>
    <t>Ruso Benigsen, General</t>
  </si>
  <si>
    <t>General Ruso Benigsen</t>
  </si>
  <si>
    <t>e Enero. ' " '* - DIARIO QUADRÁGESIMOQUINTO DEL EXERCITO GRANDE* Paluky 27 de Diciembre de 1806I El General Ruso Benigsen mandaba un exército deuóo$ hombres.</t>
  </si>
  <si>
    <t>Ryland Halt</t>
  </si>
  <si>
    <t>e había preparado en esta ciudad. El mismo dia dio audiencia al cuerpo legislativo, cuyo presidente Mr. Ryland Halt arengó á S. M. en nombre de sus colegas en estos términos: . - - - • ■ .&gt; -■</t>
  </si>
  <si>
    <t>S-aenz, Manuel</t>
  </si>
  <si>
    <t>Manuel S-aenz</t>
  </si>
  <si>
    <t>muno, á esta resulta al de fusileros D. Lorenzo Carazo; á tenientes de fusileros á los subtenientes D. Manuel S-aenz y D. Matías Sandoval, y á subtenientes de fusileros á D. Joaquín Prieto y D. Francisco Echeverría; á teniente en el batallón de 'Goatemala á D. Josef de Jesús Valero, los tres últimos</t>
  </si>
  <si>
    <t>Saavedra Faxardo, Diego</t>
  </si>
  <si>
    <t>Diego Saavedra Faxardo</t>
  </si>
  <si>
    <t>s franceses. Se está publicando en esta ciudad una traducción francesa de las empresas políticas de D. Diego Saavedra Faxardo, hecha por Mr. Bartolomé C*** Constará de 3 tomos en 8.°, con 108 estampas bien grabadas. El corsario el Relámpago conduxo el iode abril á la Martinica las embarcaciones inglesas</t>
  </si>
  <si>
    <t>Saavedra Rivadenéyrá, Manuel</t>
  </si>
  <si>
    <t>Manuel Saavedra Rivadenéyrá</t>
  </si>
  <si>
    <t>S. M. se ha servido nombrar para una-Canongía dé la Cátedra! de Lugo, Tacante por fallecimiento de D. Manuel Saavedra Rivadenéyrá, á Félix Francisco .González , Capellán del Regimiento de infantería de ia Reyna : para una RaciónJdevla Catedral de Almería,^vkaaritéfeporascenEóídie O. Josef Gil de Sagredo al A</t>
  </si>
  <si>
    <t>Sacristán, Isidoro</t>
  </si>
  <si>
    <t>Isidoro Sacristán</t>
  </si>
  <si>
    <t>taestandarte al sargento primero D. Juan Qnesada; y en el de dragones del Rey ayudantía al teniente D. Isidoro Sacristán. S. M. se ha servido conferir el gobierno militar y político de la plaza del Ferrol á D. Joaquín Fidaigo, capitán de navio de la real armada. Ei Rey se ha servido nombrar para la</t>
  </si>
  <si>
    <t>Sada, Fernando</t>
  </si>
  <si>
    <t>Fernando Sada</t>
  </si>
  <si>
    <t>En el regimiento de di agones del Rey se ha servido S. M. conceder empleo de alférez al portaguión D. Fernando Sada: en el de Villaviciosa la tenencia coronela ai teniente coronel D. Josef de Ribas,, sargento roayrr del de Almansat esta re.ulta á D. Francisco Conway, capitán del citado Villavic</t>
  </si>
  <si>
    <t>Sáenz de Buruaga, Manuel Esteban</t>
  </si>
  <si>
    <t>Manuel Esteban Sáenz de Buruaga</t>
  </si>
  <si>
    <t>ario del tribunal de la contaduría mayor: para el: Corregimiento de letras de la villa de Arévalo á D. Manuel Esteban Saenz de Buruaga: para otro igual de la ciudad de Chinchilla á D. Manuel Fernandez. Duran: para la Vara de Alcalde mayor de la ciudad de Ronda á D. Josef Manuel Calderón de Guevara, Alcalde del cr</t>
  </si>
  <si>
    <t>Sáenz de Vizmanos, Antonio</t>
  </si>
  <si>
    <t>Antonio Sáenz de Vizmanos</t>
  </si>
  <si>
    <t>ad, han hecho su pérdida muy sensible ,á quantos la conocían. VENTAS JUDICIALES. Por providencia de D. Antonio Saenz de Vizmanos, juez comisionado regio para la venta de bienes eclesiásticos en el obispado de Coria, se ha señalado el dia 27 del corriente para el remate de las fincas siguientes: una dehesa d</t>
  </si>
  <si>
    <t>acudirá á la escribanía de la comisión, que desempeña D. Josef López Martínez. , Por providencia de D. Antonio Saenz de Vizmanos, comisionad® regio para la venta de bienes eclesiásticos en la di ócesi de Coria , se ha señalado él dia 27 del corriente para el remate de las fincas si guientes: una dehesa de p</t>
  </si>
  <si>
    <t>ra de estas fincas, lo executará por la escribanía que exerce D. Felipe Sánchez. Por providencia de D. Antonio Saenz de Vizmanos, comisiónalo regio en la diócesi de Coria, se ha señalado el dia 16 del presente para el remate de las fincas siguientes: la dehesa de Encinejo, sita en término del lugar de Torre</t>
  </si>
  <si>
    <t>o de 49 días contados desde el 18 del corriente, en la auditoría de marina de aquel departamento. ■’D. Antonio Saenz de Vizmanos, comisionado re.gio para la venta de bienes eclesiásticos en la diócesi de Coria, ha señalado para el dia 30 del corriente’el remate de las fincas siguientes: toda la dehesa que l</t>
  </si>
  <si>
    <t>Sagra y Dv Juan Anselmo Villapol, Lorenzo</t>
  </si>
  <si>
    <t>Lorenzo Sagra y Dv Juan Anselmo Villapol</t>
  </si>
  <si>
    <t>n geografía y cosmografía los mismos j y en navegación y álgélira ef dicho Fragua, D^.Pedro Villar* D. Lorenzo Sagra y Dv Juan Anselmo Villapol. Don Josef Gayo , aunque no matriculado, en el álgebra y su aplicación á la geometría. Todos los qualés resolviérón en sus respectivas clases quantos problemas se les señalaron; y</t>
  </si>
  <si>
    <t>Sagra, Lorenzo</t>
  </si>
  <si>
    <t>Lorenzo Sagra</t>
  </si>
  <si>
    <t>rero, Royo, Eiroa, Ordavideluz , Ge-* droa y Vaientin Diez; y en navegación D. Josef Genaro Cháple. D. Lorenzo Sagra, que después de haber concluido sus estudios de navegación» se ha dedicado á los de la matemática superior, dió tambien. en los referidos íCtos nuevas pruebas de su aplicación, re</t>
  </si>
  <si>
    <t>Sainz de Alfaro, Isidoro</t>
  </si>
  <si>
    <t>Isidoro Sainz de Alfaro</t>
  </si>
  <si>
    <t>ta: para la ración vacante en la metropolitana de México, por muerte de D. Josef Mariano Ramírez, á D. Isidoro Sainz de Alfaro; y para la media - ración, que este dexa, á D. Josef Ensebio de Ortega, cura en aquel arzobispado. S. M. á consulta de su consejo se ha dignado conceder á la villa de Bornos facul</t>
  </si>
  <si>
    <t>Sainz Rodríguez, Pedro</t>
  </si>
  <si>
    <t>Pedro Sainz Rodríguez</t>
  </si>
  <si>
    <t>Joaquín Antonio Luque, presbítero: para una ración de la catedral de Toledo, vacante por muerte de D. Pedro Sainz Rodríguez, á D. Baltasar Fernandez, presbítero: parados de las tres capellanías que fundó en el convento de religiosas descalzas de esta villa la emperatriz Doña María de Austria, vacantes,</t>
  </si>
  <si>
    <t>Saiz, Salvador</t>
  </si>
  <si>
    <t>Salvador Saiz</t>
  </si>
  <si>
    <t>iento de D. Angel Tomas de la Mata; da: deL lugar de Mohorte, anexo ai de la Melgosa, por muerte de D. Salvador Saiz; la de la villa de Versea, por fallecimiento de D. Pedro Joaquín DiazjHa del lugar de Arcas, por muerte de Don Vicente Asensk&gt;; la de Arrancacepas, por fallecimiento de D. Francis</t>
  </si>
  <si>
    <t>Sal, Manuel</t>
  </si>
  <si>
    <t>Manuel Sal</t>
  </si>
  <si>
    <t>ce homo con Pílalos y un sayón, en medio pliego de marca mayor, pintado por Guercino, y grabado por D. Manuel Sal-’ vador Carmena, primer grabador de cámara de S. M., y director en la real academia de S. Fernando. Se hallará en las librerías de Barco, carrera de S. Gerónimo, de Escribano, calle</t>
  </si>
  <si>
    <t>Sala, Antonio</t>
  </si>
  <si>
    <t>Antonio Sala</t>
  </si>
  <si>
    <t>stana: á D. Josef Bonet para la doma de Vulpeollach, en la diócesi de Geronaj vacante por muerte de D. Antonio Sala: á D. Manuel Roure— ra para una ración de la catedral de Roda, diócesi de Lérida, vacante por promoción de D. Ignacio Garces y Perez á canongía de la misma catedral. En América. E</t>
  </si>
  <si>
    <t>Saladriga, Ramón</t>
  </si>
  <si>
    <t>Ramón Saladriga</t>
  </si>
  <si>
    <t>892 Ímesto de seis unidos, vacante 'en la misma catedral de Barcelona por falecimiento'de D. Ramón Saladriga. En el regimiento de caballería de la Reyna se ha servido S, M. conceder empleó de portaestandarte al sargento i.° D. Luis Morales: en el del Infante empleos de alférez i los port</t>
  </si>
  <si>
    <t>Salaices, Diego</t>
  </si>
  <si>
    <t>Diego Salaices</t>
  </si>
  <si>
    <t>aría Merlano; á subtenientes de fusilerosal cadete D. Francisco Grávete, y á los sargentos primeros D. Diego Salaices y D. Juan Rosado;y de bandera á los cadetes D. Manuel de Alburquerque, D. Manuel Guerrero y D. Antonio Galluzo, y al sargento primero I). Francisco Nieto. El Rey se ha servido resolve</t>
  </si>
  <si>
    <t>Salas, Antonio</t>
  </si>
  <si>
    <t>Antonio Salas</t>
  </si>
  <si>
    <t>cón el primero, D. Antonio Golfín el segundo. En la de sintaxis, propiedad y prosodia, del cargo de D. Antonio Salas, D. Francisco Melgarejo el primero, D. Josef Viedma el segundo. En la de poética y retórica , del cargo de D. Demetrio Ortiz, D. Cárlos O-Reilly el primero y único premio. En la</t>
  </si>
  <si>
    <t>Salas, Pablo</t>
  </si>
  <si>
    <t>Pablo Salas</t>
  </si>
  <si>
    <t>a servido nombrar capitán de la compañía fixa de artilleros de guarnición de la plaza de Alicante á D. Pablo Salas, ayudante mayor de la brigada de artilleros de Mallorca. En América. El Rey se ha servido nombrar para el arzobispado de la</t>
  </si>
  <si>
    <t>Salazar, Juan Ventura</t>
  </si>
  <si>
    <t>Juan Ventura Salazar</t>
  </si>
  <si>
    <t>. Pedro Mendoza; á subteniente de fusileros al sargento prlnero D. jacinto S'alazar, y de bandera á Don Juan Ventura Salazar, también sargento primero^ y al soldado distinguido D. Juan García de Puga. A teniente en el de urbanas de caballería de lea al alférez D. Manuel Santayana. A capitán en el de dra</t>
  </si>
  <si>
    <t>Salcedo, Manuel</t>
  </si>
  <si>
    <t>Manuel Salcedo</t>
  </si>
  <si>
    <t>Tigero y D. Domingo Pascual. £n América. El Rey se ha servido conceder grado de teniente coronel á D. Manuel Salcedo, gobernador militar y político de la provincia de Tejas. Accediendo el Sermo. Sr. Príncipe de la Paz á los deseos de la junta de gobierno del comercio de la ciudad de Barcelona, s</t>
  </si>
  <si>
    <t>Salces, Félix</t>
  </si>
  <si>
    <t>Félix Salces</t>
  </si>
  <si>
    <t>rtin, Pedro Guio, Vívente Crespo, D. Josef García Suelto, Francisco Quintín Sánchez, D. Juan Muñoz, D. Félix Salces, Gonzalo Vega, F...... Pantoja, Manuel Solano, Miguel Quintana, D. Andrés Calvo, Pedro Presa, Albertos Chueca, y al dueño de una cochera en la calle de la Bola, y á los herederos</t>
  </si>
  <si>
    <t>Saldos, Antonio</t>
  </si>
  <si>
    <t>Antonio Saldos</t>
  </si>
  <si>
    <t>ntos segundos de las mismas; y á teniente coronel del esquadron de dragones de S. Miguel al capitán D. Antonio Saldos. BOTANICA. Aoenas manifestó el célebre Cávanilles quinto deseaban los sabios se publicase una Flora completa de España, y quinto importaba i la gloria del real jardín de Madrid y</t>
  </si>
  <si>
    <t>Salisbuii</t>
  </si>
  <si>
    <t>igna y epidémica , que hace muchos estragos. Entre las personas que han muerto de ella, se cuenta á Mr. Salisbuii, coronel del primer regimiento de guardias. Las cartas de Suecia refieren que las tropas que vuelven de la ida de Rugen van marchando á sus respectivas guarniciones; que se dan mu</t>
  </si>
  <si>
    <t>Salzas, Ventura</t>
  </si>
  <si>
    <t>Ventura Salzas</t>
  </si>
  <si>
    <t>a verdadera libertad natural y civil del hombre, escrito en italiano, y traducido al castellano por D. Ventura Salzas.r=:La agresión británica: canto épico en octava rima, con algunas ilustraciones al fin, por D. Juan María Mauri: á 4 rs. en rústica. Se venden en la librería de Castillo. GRABADO.</t>
  </si>
  <si>
    <t>Samaniego, Félix María</t>
  </si>
  <si>
    <t>Félix María Samaniego</t>
  </si>
  <si>
    <t>do en el prospecto que se di® con la gazeta de 31 de enero de 1801. Fábulas en verso castellano por D. Félix María Samaniego : dos tomos en 8.®, enquadernados en uno : quinta edición, hecha con todq esmero y en papel fino: puede colocarse en ella la colección de estampas que se han grabado alusivas á lo</t>
  </si>
  <si>
    <t>Samper, Antonio</t>
  </si>
  <si>
    <t>Antonio Samper</t>
  </si>
  <si>
    <t>10 de setiembre del año próximo anterior, y con lo que de su orden se me encarga por su secretario D. Antonio Samper en la de 27 de marzo del presente. A las escenas de los horrores de la guerra sucedieron las de urbanidad en el mayor esmero en el cuidado de los heridos: visité á los generales ing</t>
  </si>
  <si>
    <t>Samuel</t>
  </si>
  <si>
    <t>dos últimos salieron el mismo día para las Dunas, y al siguiente debían seguirles los otros quatro. Sir Samuel, Hood tomará el mando de estas fuerzas. ? que se agregarán á 5 navios de línea que hay en Yarmouth; y en breves dias saldrá, á las (órdenes de Sir John Duckworth, una esquadra que</t>
  </si>
  <si>
    <t>Samuel Acchmuty</t>
  </si>
  <si>
    <t>on mucho estos regimientos por la metralla y fusilería, su valeroso comandante el brigadier general Sir Samuel Acchmuty se apoderó del puesto, tomando 32 cañones, inmensa cantidad de municiones y 600 prisioneros. El regimiento 5.°, hallando poca resistencia, avanzó hácia el rio, y tomó posesión de</t>
  </si>
  <si>
    <t>Samuel Achmuty</t>
  </si>
  <si>
    <t>t. La expedición que salió el 10 de octubre de Plymouth con destino á Buenos-Ayres á las órdenes de Sir Samuel Achmuty, y baxo la escolta del navio Ardiente, de 64 cañones, y de' las fragatas Resistencia y Union, consistía en 2700 hombres de tropas de desembarco. Los refuerzos enviados del cabo ae</t>
  </si>
  <si>
    <t>Samuel Auchmuty</t>
  </si>
  <si>
    <t>mando del capitán Fraser; los regimientos 5.0, 38.0 y 87.0 de infantería, al del brigadier general Sir Samuel Auchmuty; el i7.°de dragones ligeros, el 36.0 y ej 88.° al del brigadier general Guillermo Lumley; 8 compañías del regimiento 95.0 y</t>
  </si>
  <si>
    <t>azoteas de las casas, dieron ocasión á formar el plan de ataque siguiente. ^ Al brigadier .general Sir Samuel Auchmuty sé le mandó destacar el regimiento 38.0 ¿ apoderarse de^ la plaza de toros y terreno adyacente, tomando ajli puestor lps regimientos 87.°, 5.0, 36.° y sé dividieron en alas, y se</t>
  </si>
  <si>
    <t>dose así expuesto el flanco del regimiento 3Ó.P, este regimiento y el 5.0 se retiraron al puesto de Sir Samuel Auchmuty cerca de la plaza de toros; pero antes tuvieron el teniente coronel Burne y la compañía de granaderos del 36.0 ocasión de distinguirse, acometiendo un cuerpo de 800 enemigos, y to</t>
  </si>
  <si>
    <t>del bergantín Staunch, que estaba cerca de una milla de la playa, y enfrente del puesto ocupado por Sir Samuel Auchmuty; y envié orden á la Medusa, á IzTts&amp;ey al Sarraceno , que se habian quedado en Barragan, para que se viniesen rio arriba quanto mas pudieran sin riesgo de perderse. El capitán Tho</t>
  </si>
  <si>
    <t>char á Inglaterra, luego que envíe sus pliegos el general Whitelocke, y que reciba como pasageros á Sir Samuel Auchmuty y al coronel Bcurke, que lleva los pliegos del general. No he recibido todavía las relaciones de los capitanes Rowley y Joyce, que aun están en tierra con los marineros que desembar</t>
  </si>
  <si>
    <t>Samuel Hood</t>
  </si>
  <si>
    <t>alido para Inglaterra llega á 56$. El Rey na concedido una pensión anual de 500 libras esterlinas á Sir Samuel Hood en consideración á haber perdido un brazo, y á sus distinguidos servicios.</t>
  </si>
  <si>
    <t>oy compuesto de 150 velas, que salió de Portsmouth el 4 del mismo mes para las Indias occidentales. Sir Samuel Hood habia llegado á aquella isla á bordo del Centauro con la fragata Comus; pero á otro dia se hizo á la vela, sin que se sepa su destino. Corre que la esquadra dél mar del norte se a</t>
  </si>
  <si>
    <t>do de 1100. hombres entre muertos y heridos. i La goleta Quail, de 18 ¿añones, ha traidó pliegos de Sir Samuel Hood, que cruza con 5 navios á la altura ée la isla de Madera. Parece que este oficial no tardará en déxar aquel apostadero, y volverse á Inglaterra eoa su esquadra* HOLANDA. Haya 17 d</t>
  </si>
  <si>
    <t>esa. Su capitán escribe con fecha de 9 de mayo, en cuya época se hallaba cruzando delante de Tolon. Sir Samuel Hood ha arribado á Falmouth oon los navios Centauro, Ganges, Capitán, Desconfianza y Aquiles, de vuelta de su crucero á la altura de las islas de Cabo-verde, durante el qual no ha hech</t>
  </si>
  <si>
    <t>os infelices en la necesidad de haber de rasgar sus pro^&gt; pias camisas para vendarse las heridas. . Sir Samuel Hood contestó á todos estos puntos, diciendo, que jamás han, faltado en los navios remedios ni socorros de toda especie; que él había mandado esquadra, y que nunca habia oido quejas de</t>
  </si>
  <si>
    <t>almirante: el Pompeyo, de 80, por el vice-almirante Stanhope; el Centauro y de 74, por el conmodoro Sir Samuel Hood; de otros diez de 74, tres de 64, siete fragatas, muchas corbetas, bergantines y lanchas bombarderat, que en todo componen 38 velas. La segunda división, que lleva tropas á bordo,</t>
  </si>
  <si>
    <t>Dinamarca. __ Tres esquadras teníamos en el mar, cuyo destino se ignoraba; ahora se dice que la de Sir Samuel Hood se dirige á la isla de la Madera; que el almirante Keats tiene la,comisión de tomar á su. bordo,, si es posible, la familia real portuguesa, y de traerse la esquadra de aquella na</t>
  </si>
  <si>
    <t>San Vicente, Lord</t>
  </si>
  <si>
    <t>Lord San Vicente</t>
  </si>
  <si>
    <t>astor. Se hallarán en la librería de Burgui’los, frente al cementerio de S. Sebastian. Discurso dsl Lord San Vicente, primer Lord del Almig^ntazgo Británico, al saber el nombramiento de Almirante de España é Indias en el Serenísimo Sr. Príncipe Generalísimo Almirante. Véndese en los tres departa</t>
  </si>
  <si>
    <t>Sánchez Barriga, Miguel</t>
  </si>
  <si>
    <t>Miguel Sánchez Barriga</t>
  </si>
  <si>
    <t>sco Sedaño. Ea el regimiento de caballería del Rey se ha servido S. M. conceder tenencia al alférez D. Miguel Sánchez Barriga: en los del Principe é Infante empleos de portaestandartes á ios cadetes D. Pedro Fuenmayory D. Gabriel del Rio; y en el de Montesa tenencia al alférez D. Juan Ontanar. También se</t>
  </si>
  <si>
    <t>Sánchez Cisneros, Juan</t>
  </si>
  <si>
    <t>Juan Sánchez Cisneros</t>
  </si>
  <si>
    <t>os con lá roaror exactitud y esmero, que le grangeáron el aprecio y la estimación de Íos Soberanos. Don Juan Sánchez Cisneros, individuo de mérito de varios cuerpos científicos de España, y Vice-Secretario perpetuo del Real Patriótico de Valencia, acaba de eoncluir el viage científico que principió en d</t>
  </si>
  <si>
    <t>Sánchez Cisñerosy Vice- Secretario, Juan</t>
  </si>
  <si>
    <t>Juan Sánchez Cisñerosy Vice- Secretario</t>
  </si>
  <si>
    <t>de aceyte que constantemente producen los olivos de la Alcudia de Veo en la sierra de Espalan; por D. Juan Sánchez Cisñerosy Vice- Secretario de la real Sociedad de Valencia. * Entre los útiles descubrimientos que ha hecho Cisneros,y comunicado á la Sociedad valenciana durante el tiempo de sus viages por Espadan, merece lugar</t>
  </si>
  <si>
    <t>Sánchez de Arcilla, Miguel</t>
  </si>
  <si>
    <t>Miguel Sánchez de Arcilla</t>
  </si>
  <si>
    <t>iata de Toro, en la diócesi de Zamora, vacante por fallecimiento de D. Miguel Aivarez de la Cruz, á D. Miguel Sánchez de Arcilla, presbítero; y para el beneficio simple servidero del lugar de Hervas, én la diócesi de Plasencia, vacante por muerte de D. Pedro de AguiIar i áb:D. Joaquín Castan, capellán de al</t>
  </si>
  <si>
    <t>Sánchez Díaz, Juan Francisco</t>
  </si>
  <si>
    <t>Juan Francisco Sánchez Díaz</t>
  </si>
  <si>
    <t>media ración, vacante en la metropolitana de Cuba por fallecimiento de D. Joan Antonio de Urive, á D. Juan Francisco Sánchez Díaz» cura del sagrario de ella.</t>
  </si>
  <si>
    <t>Sánchez Hidalgo, Bernardo</t>
  </si>
  <si>
    <t>Bernardo Sánchez Hidalgo</t>
  </si>
  <si>
    <t>rihuela: á D. Francisco Romero y Alpuente para la dignidad de Chantre de la catedral de Te• mel : á D. Bernardo Sánchez Hidalgo para la Capellanía real de la colegial de Borja, diócesis de Tarazona; y á D. Juan Gallisa y Amat para el Beneficio residencial de la, villa de Valí, en la diócesis de Tarragona;</t>
  </si>
  <si>
    <t>beneficio titulado sacristía de la parroquia de Luna, diócesi de Zaragoza, vacante por promoción de D. Bernardo Sánchez Hidalgo á una capellanía real de la ciudad de Borja; y á D. Josef Pejoan para un beneficio de la parroquia de S. Miguel de la vijla de Cardona, diócesi de Solsona, vacante por promoción d</t>
  </si>
  <si>
    <t>Sánchez Illescas, Juan</t>
  </si>
  <si>
    <t>Juan Sánchez Illescas</t>
  </si>
  <si>
    <t>a D. Juan de Silva y D. Josef Sotelo, y al sargento del regimiento provincial de Alcázar de S. Juan D. Juan Sánchez Illescas. S.M. se ha servido nombrar para el empleo de guarda- almacén ordinario de artillería de la plaza de Figueras á D. Ignacio González, guarda-almacén extraordinario de la de Rosas;</t>
  </si>
  <si>
    <t>Sánchez Leñero, Juan</t>
  </si>
  <si>
    <t>Juan Sánchez Leñero</t>
  </si>
  <si>
    <t>M. nombrar para la primera canongía á D. Francisco Cerpa y Manrique: para la ración que este dexa á D. Juan Sánchez Leñero; y para la media ración que este obtiene á D. Ignacio Mariano de Aguilar, cura de aquella diócesi: para la segunda á D. Josef Antonio Tuñon y Llamas: para la ración de este á Don</t>
  </si>
  <si>
    <t>Sánchez Muñoz, Vicente</t>
  </si>
  <si>
    <t>Vicente Sánchez Muñoz</t>
  </si>
  <si>
    <t>á D. Josef María Perez de Rozas; y para el de la villa de Tordesillas» también de segunda clase, á D. Vicente Sánchez Muñoz. Ea virtud de la promoción de D. Cayetano de Urbina, intendente del exército de Valencia, á ministro de capa y espada del consejo de Indias, ha venido S M. en mandar que se restit</t>
  </si>
  <si>
    <t>Sánchez Pavón, Pedro</t>
  </si>
  <si>
    <t>Pedro Sánchez Pavón</t>
  </si>
  <si>
    <t>Gilman, D. Pablo Ferrando, cadete del regimiento de infantería de Soria, D. Manuel Entreambasaguas, D. Pedro Sánchez Pavón, D. Joaquín Gaidiano', D. Josef'María Jussué, D. Josef Baquedano, D. Ramón Posada, D. Josef Bretón , Don Eugenio de Zuloaga, D. Vicente Bassoco y D. Manuel de la Torre. Ganaron el</t>
  </si>
  <si>
    <t>z, D. Carlos Van-Zoelen, D. Sebastian Fernandez de Navarrete y D. Luis Berganza; y los seminaristas D. Pedro Sánchez Pavón, D. Pablo Unda, D. Bonifacio Olivencia, D. Bernabé de Otalora, D. Juan de Mazarredo, D. Juan de Arana", D. Pablo Ferrando, cadete del regimiento de infantería de Soria, D. Eugenio</t>
  </si>
  <si>
    <t>Sánchez Royo, Ramón</t>
  </si>
  <si>
    <t>Ramón Sánchez Royo</t>
  </si>
  <si>
    <t>r promoción de D. Diego Andrés Teruel al deanato de la colegiata de Alcañiz, diócesi de Zaragoza, á D. Ramón Sánchez Royo: para un beneficio rural de nuestra Señora, unido con el de S. Salvador fundado en la parroquial de Sta. María de las Llosas, diócesi de Viqae, vacante por fallecí miento de D. Ja</t>
  </si>
  <si>
    <t>Sánchez Satostegui, Francisco</t>
  </si>
  <si>
    <t>Francisco Sánchez Satostegui</t>
  </si>
  <si>
    <t>oberto Simson, y ©tro de la aritmética mercantil de Don Benito Bails. D. Juan Ignacio Arespacohaga, D. Francisco Sánchez Satostegui y D. Miguel González y Cadenas lo fuéron de seccionen cónicas y cálculo diferencié é integral , y se les premió á cada uñó cotiun exemplar dél compendio dé matemáticas .de EL Benito B</t>
  </si>
  <si>
    <t>Sánchez Soriano, Juan</t>
  </si>
  <si>
    <t>Juan Sánchez Soriano</t>
  </si>
  <si>
    <t>an Francisco Xarava: para una ración de la catedral dé Puebla de los Angeles, vacante por muerte de D. Juan Sánchez Soriano, á D. Miguel Martínez de los Ríos; para la media ración que obtiene á D. Francisco Vázquez del Campo, cura en el arzobispado de México. También se ha dignado el Rey conferir el em</t>
  </si>
  <si>
    <t>Sánchez Vejarano y Paniagua, Juan</t>
  </si>
  <si>
    <t>Juan Sánchez Vejarano y Paniagua</t>
  </si>
  <si>
    <t>a la canongía de la catedral de Plasencia, vacante por fallecimiento de D. Miguel Muñiz y Gatuno, á D. Juan Sánchez Vejarano y Paniagua; y para la ración que se halla vacante en la catedral de Córdoba, por muerte de D. Pedro León, 4 D, Josef Joaquín Mozuelo, medio racionero de la misma iglesia. En el regimiento de</t>
  </si>
  <si>
    <t>Sánchez, Felipe</t>
  </si>
  <si>
    <t>Felipe Sánchez</t>
  </si>
  <si>
    <t>uien quisiere hacer postura á qualquiera de estas fincas, lo executará por la escribanía que exerce D. Felipe Sánchez; en la inteligencia de que en el dia 2 de Mayo próximo se han -de celebrar los remates de ellas. A voluntad de su duefto se vende una casa con fuente, sita en la calle de Hortalez</t>
  </si>
  <si>
    <t>iere hacer postura á qualquiera de las expresadas fincas, lo executará por la escribanía que exerce Don Felipe Sánchez. Avrsos. Son bien notorios los maravillosos efectos que producen los baños y aguas termales de Giiesalaga, en la jurisdicción de la villa de Cestona, provincia de Guipúzcoa ; como</t>
  </si>
  <si>
    <t>uien quisiere hacer postura á qualquiera de estas fincas, lo executará por la escribanía que exerce D. Felipe Sánchez. Por providencia de D. Antonio Saenz de Vizmanos, comisiónalo regio en la diócesi de Coria, se ha señalado el dia 16 del presente para el remate de las fincas siguientes: la dehes</t>
  </si>
  <si>
    <t>Sánchez, Juan</t>
  </si>
  <si>
    <t>Juan Sánchez</t>
  </si>
  <si>
    <t>de justicia los mas cumplidos elogios; y la prueba de aplicación y de íunor patriótico que ha dado D. Juan Sánchez se los grangeará sin duda entre los Españoles y extrangeros. , „ En ei despacho de ia Imprenta Real se vende la Guia de Forasteros, con el Estado Militar, en tafilete, en pa.ta y</t>
  </si>
  <si>
    <t>Sánchez, Manuel</t>
  </si>
  <si>
    <t>Manuel Sánchez</t>
  </si>
  <si>
    <t>a, acuda á la escribanía de la subdelegaron, que desempeña D. Claudio Constanzo. Por providencia de D. Manuel Sánchez, subdelegado para la venta de bienes eclesiásticos ¿n la diócesi de Teruel, se ha mandado sacar á pública subasta una heredad sita en el término del lugar de Camarillas, en la par</t>
  </si>
  <si>
    <t>Sánchez, Pedro</t>
  </si>
  <si>
    <t>Pedro Sánchez</t>
  </si>
  <si>
    <t>niente ;y;;sabtenieníe de fulleros, D. Fausto Catalán , t&gt;¡ Pedro Gutierfjez, D.;Gaspar.Fernandez y D, Pedro Sánchez: compañía, primera y segunda tenencia y subtenencia de fu ileros á. Don josef Delahauty , D. Carlos Carta , í&gt;. Aureliano Carabeo y D. Francisco Matos, primero y segundo teniente,</t>
  </si>
  <si>
    <t>Sánchez, Pedro Antonio</t>
  </si>
  <si>
    <t>Pedro Antonio Sánchez</t>
  </si>
  <si>
    <t>ulado hacer la abertura pública de la biblioteca establecida en la casa consular á expensas del Dr, D, Pedro Antonio Sánchez, Canónigo de la catedral de Santiago, lo verificó en el dia if de agosto, en la que se leyó por el Secretario del Consulado D. Josef Lúeas Labrada la oración inaugural, que al int</t>
  </si>
  <si>
    <t>que se funda y de la injusticia de su'exacción, con una carta crítica ai Dr. D. Pedro Antonio Sánchez, canónigo de Santiago : obras escritas por el Lie. D. Francisco Rodríguez de Ledesma. Se venden en las librerías de Sancha y Castillo; en Sevilla en la de la viuda de Hidalgo y Sobrino, en</t>
  </si>
  <si>
    <t>Sánchez, Simón</t>
  </si>
  <si>
    <t>Simón Sánchez</t>
  </si>
  <si>
    <t>as en los esquadiones de dragones de milicias disciplinadas de Nueva-Segovia y Yoro á los tenientes D. Simón Sánchez y D. Francisco G‘ mez: tenencias veteranas en las compañías de milicias de Chontales y S. Pedro de Usala á D. Vicente Ortega y D. Vicente Ibañez; y las subtenencias que estos dexan á</t>
  </si>
  <si>
    <t>Sanchoyer, Pedro María</t>
  </si>
  <si>
    <t>Pedro María Sanchoyer</t>
  </si>
  <si>
    <t>Manuel Pe rez de los Ríos: para la de las nuevas poblaciones de Andalucía, su caital la Carlota, á D. Pedro Mana Sanchoyer to: para la de las nuevas porciones de Sierra-Morena, su capital la Carolina , á D. Antonio Llano y Alvarez: para la de la ciudad de Ronda, que ha renunciado D .«Josef Manuel Cald</t>
  </si>
  <si>
    <t>Sandino, Ignacio Pablo</t>
  </si>
  <si>
    <t>Ignacio Pablo Sandino</t>
  </si>
  <si>
    <t>e Daroca á D. Francisco Xavier Otal y Palacio; y para la de Palma, capital del reyno de Mallorca, á D. Ignacio Pablo Sandino. El Rey se ha servido conceder los honores de comisario ordenador de sus exércitos á D. Ramón González Eirís, comisario de guerra y artillería del departamento de islas de Canaiia</t>
  </si>
  <si>
    <t>Sangrador, Juan Manuel</t>
  </si>
  <si>
    <t>Juan Manuel Sangrador</t>
  </si>
  <si>
    <t>se informará de otros pormenores. , . AVISO. • Regresando desde esta corte á la ciudad de Palencia D. Juan Manuel Sangrador, fiscal de rentas en ella, le sustrajeron'de una de las posadas de la ciudad de Valladolid, en la noche del 28 de noviembre próximo anterior, un baúl pequeño en que llevaba varias</t>
  </si>
  <si>
    <t>Sani, Ventura María</t>
  </si>
  <si>
    <t>Ventura María Sani</t>
  </si>
  <si>
    <t>aduría general de la distribución de la real hacienda; D. Pedro García Várela; D. Francisco Pradel; D. Ventura María Sani, conserge del real palacio delrsitio de S. Ildefonso, y D. Simón de Roxas Clemente, bibliotecario del real jardín botánico de Madrid. En cumplimiento de las reales cédulas de 15 d</t>
  </si>
  <si>
    <t>Sanmartí, Antonio</t>
  </si>
  <si>
    <t>Antonio Sanmartí</t>
  </si>
  <si>
    <t>s y personero del común. Obra útil á los corregidores, baylcs, regidores, diputados y síndicos. Por D. Antonio Sanmartí, escribano del ayuntamiento de Lérida. Véndese en Lérida en casa del autor, y en Barcelona en la librería de Sierra y Martí, á 20 rs. GRABADO. Estampa nueva de la Tía Aurora en la</t>
  </si>
  <si>
    <t>Santa María Orta, Jacinto</t>
  </si>
  <si>
    <t>Jacinto Santa María Orta</t>
  </si>
  <si>
    <t>e señalen la persona que deba recaudar sus respectivos intereses en Montevideo. Jacinto Santa María Orta, natural de la villa de Sotillo, de edad de 15 años, é hijo natural de D. Francisco de Santa María García y de Doña Manuela Orta, hace Cerca de 3 meses que salió de casa de sus padres sin</t>
  </si>
  <si>
    <t>Santayana, Manuel</t>
  </si>
  <si>
    <t>Manuel Santayana</t>
  </si>
  <si>
    <t>ado distinguido D. Juan García de Puga. A teniente en el de urbanas de caballería de lea al alférez D. Manuel Santayana. A capitán en el de dragones urbanos de</t>
  </si>
  <si>
    <t>Santisteban, Rafael</t>
  </si>
  <si>
    <t>Rafael Santisteban</t>
  </si>
  <si>
    <t>n los regimientos de dragones de Lusitania y Húsares Españoles á los ayudantes D. Jos*f Lachambre y D. Rafael Santisteban, este último graduado de espitan. - En América. En el regimiento de infantería provincial de Valladolid, en él reyno de Nueva- España, se ha servido S. M. promover á capitán de gr</t>
  </si>
  <si>
    <t>Santisteban, Santiago</t>
  </si>
  <si>
    <t>Santiago Santisteban</t>
  </si>
  <si>
    <t>f Julián Campo; á capitán de granaderos en el de urbanas de infantería de Caxamarca al de fusileros Don Santiago Santisteban; á tenientes de fusileros á los subtenientes D. Josef Perez Bermejo, D. Nicolás de Vargas y D. Pedro Mendoza; á subteniente de fusileros al sargento prlnero D. jacinto S'alazar, y</t>
  </si>
  <si>
    <t>Santomé, Félix</t>
  </si>
  <si>
    <t>Félix Santomé</t>
  </si>
  <si>
    <t>Te T&gt;eum, celebró misa pontifical, y en seguida pronunció una oración alusiva al asunto e! canónigo D. Félix Santomé. Al tiempo.de la bendición pontifical se hizo otra salva igual á la anterior. Concluida la función de iglesia, se retiró el prelado á su casa habitación con el mismo acompañamient</t>
  </si>
  <si>
    <t>Santos del Pino, Luis</t>
  </si>
  <si>
    <t>Luis Santos del Pino</t>
  </si>
  <si>
    <t>ervido nombrar para la canongía de la catedral de Córdoba del Tucuman, vacante por fallecimiento de D. Luis Santos del Pino, á D. Gregorio Tadeo de LUnos, teniente de cura de la parroquia de S- Nicolás de la ciudad de Buenos-Ayres: para otra de la de Quito, vacante por muerte de D. Lázaro Sevillano, á</t>
  </si>
  <si>
    <t>Santos Fernández San Miguel</t>
  </si>
  <si>
    <t>as de bandera eh el de voluntarios de Estado al cadete deL primer batallón de voluntarios de Aragón D. Santos Fernandez San Miguel, y en el segundo batallón de voluntarios de Aragón al sargento primero D. Jacobo Carnicer; y en eL de Ñapóles subtenencia de bandera al cadete D* Josef María Martínez* En consider</t>
  </si>
  <si>
    <t>Santos Martínez</t>
  </si>
  <si>
    <t>s de los reales empréstitos de 16o y 240 millones de reales; en los quales se ha mandado emplazar á D. Santos Martínez y D. Josef Martin por término de 1,5 días, mediante £ ignorarse su paradero, para xjac dentro dé él comparezcan en dicho juzgadopor sí, ó por medio de procurador con suficiente poder,</t>
  </si>
  <si>
    <t>Santos, Francisco Antonio</t>
  </si>
  <si>
    <t>Francisco Antonio Santos</t>
  </si>
  <si>
    <t>do, dentro de'dicho término, que ha empezado á correr desde el 4 del mes actual. Por providencia de D. Francisco Antonio Santos, comisionado regio en la ciudad de Barbastro para la venta de bienes secularizados de obras pías, se ha señala* do el dia 1 5 del corriente para el remate de las fincas siguientes</t>
  </si>
  <si>
    <t>Sanz, Claudio</t>
  </si>
  <si>
    <t>Claudio Sanz</t>
  </si>
  <si>
    <t>lorines.” Por el Sr. D. Torquato Antonio Collado, Teniente Corregidor de esta villa,y escribanía de D. Claudio Sanz, en virtud de real facultad se han mandado sacar i pública subasta las fincas y heredades siguientes. Villanueva de la Fuente, provincia de la Mancha. Primeramente una dehesa, lla</t>
  </si>
  <si>
    <t>n)&amp;m. 21 , manz. 109, tasada en 9 2*824 rs. Quien quisiere hacer postura, acuda a Ja escribanía- de D. Claudio Sanz. rrr; '.vr, , ... . Quien quisiere comprar una casa-sita..en ^sta-corte en la calle del Rosario ,,har- . ríos de S. Francisco ,, manz. 119 -éntre jlos néms* 19 ;y -20 &gt; tasada en</t>
  </si>
  <si>
    <t>2, en'g8&gt;bz8|pas. Quien quisiere hacer postura acuda ante dicho señor teniente por la escribanía de D. Claudio Sanz. - • , . !• Por providencia del señor alcalde D.Prancisco López Lisperguer se ha mandado publicar nuevamente por término! de? 9 días la tasa, sita en da púerta.dcl Sol, número 5,</t>
  </si>
  <si>
    <t>les con lo que le corre*ponde de sus medianerías. Quien quisiere comprarle acuda á la escribanía de D. Claudio Sanz, donde darán tazón de la persona con quien se ha de tratar de ajuste.</t>
  </si>
  <si>
    <t>n denegación de otro, comparezcan en el juzgado de dh.ho señor teniente, y escribanía del número de D. Claudio Sanz á lc^itimír sus créditos; apercibidos de que si no comparecen, se les tendrá por no acreedores, y precederá á la determinación final del asunto, sin mas citarles, llamarles ni emp</t>
  </si>
  <si>
    <t>tropol, obispado de Oviedo, para que al término preciso y perentorio de 15 dias acudan al oficio de D. Claudio Sanz á deducirlo en forma; prevenidos de que pasado dicho término, sin mas citarles, llamarles ni emplazarles, se procederá á lo que haya lugar, y les parará perjuicio* A voluntad de s</t>
  </si>
  <si>
    <t>Roque baxa, apreciada en 9403 rs. Quien quisiere hacer pos* tura acuda á la escribanía de número de D. Claudio Sanz. avisos. D. Juan Martínez, vecino de esta corte, remitió á D. Juan de Marza, residente en Avila de los Caballeros, dos vales reales de 300 pesos, de la creación de i.° de enero, n</t>
  </si>
  <si>
    <t>0 cepas vivas y 38 marras, en 2$). Quien quisiere hacer postura, acuda á la escribanía de número de D. Claudio Sanz, dentro del término de 30 dias contados desde el 15 del pasado. AVISO. Se halla Vacante la plaza de médico' dé la villa de Peralta, en el reyno de Navarra : su dotación es de 11,2</t>
  </si>
  <si>
    <t>el Sr. D. Leoa de~Sagasta, teniente corregidor, de esta villa, p.or ante el, escribano de su número D. Claudio Sanz. Ei se/íox marques de Fuerte-Híjar ,.del consejo de S. M. en. el,supremo de Cas</t>
  </si>
  <si>
    <t>a ante el Sr. D. León de Sagasta, teniente corregidor de esta villa, por la escribanía de número de D. Claudio Sanz, dentro del término de 15 dias contados desde el 14 del presente. AVISOS. Se halla vacante el magisterio de primeras letras de la villa de Salas de Bureba, provincia de Búrgos: su</t>
  </si>
  <si>
    <t>marras, en 2600. Quien quisiere comprarlas, juntas ó separadas, acuda á la escribanía del número de D. Claudio Sanz. AVISO. Por providencia del tribunal del consulado de Cádiz, y escribanía de D. Melchor Nicolás Truxíllo, se cita, llama y emplaza á qualquiera que se considere con derecho á los</t>
  </si>
  <si>
    <t>as, que hacen 844,369 rs. 23 mrs. Quien quisiere hacer postura, acuda á la escribanía del número de D. Claudio Sanz, dentro del término de 30 dias contados desde el 17 de noviembre próximo pasado. Quien qpisiere comprar una casa,sita en la calle de Ita de esta corte,núm. 1 2, manz. 374, tasada</t>
  </si>
  <si>
    <t>Sanz, Juan Antonio</t>
  </si>
  <si>
    <t>Juan Antonio Sanz</t>
  </si>
  <si>
    <t>ido de la Serexa, 10.de junio.. A expensas de los Éxcmos,Sres. Duquesde Be jar, y por¿direfiG¡on de D. Juan Antonio Sanz, cura propio de esta vUlai ,; Ú*. Sebastian García Vi** llarejo, teniente corregidor, y D. Esteban Josef Calderón: Diez, tesorero y apoderado de dichos Excmos. Sres., se ha constr</t>
  </si>
  <si>
    <t>Sanz, Ramón</t>
  </si>
  <si>
    <t>Ramón Sanz</t>
  </si>
  <si>
    <t>&lt;? •"y Calvete, socio, de los gases en general: D. Ramón Sanz, medicinante, del ay re: D. Martin Martínez, practicante en leyes, del calórico: D. Matjo Navarro, medicinante, del reyno animal: D. Tadeo Poza, farmacéutico, de la preparación de</t>
  </si>
  <si>
    <t>Sapiens, Matias</t>
  </si>
  <si>
    <t>Matias Sapiens</t>
  </si>
  <si>
    <t>ascenso de D. Bartolomé Gispert á otra canongía de la colegiata de Guisona, en la misma diócesi: á D. Matias Sapiens para el beneficio segundo de nuestra señora de la Esperanza, vacante en la parroquial de S. Cucufate de la ciudad de Barcelona por fallecimiento de D. Pedro Juan Massana ; y á D.</t>
  </si>
  <si>
    <t>Sarmiento de Rivadeneyra, Juan</t>
  </si>
  <si>
    <t>Juan Sarmiento de Rivadeneyra</t>
  </si>
  <si>
    <t>para el Arcedianato de Tria cas tela, dignidad de la catedral de Lugo, vacante por fallecimiento de D. Juan Sarmiento de Rivadeneyra, i D. Josef Quiroga Rorniol: para la Canongíaiectoral de escritura de la colegial de Baza , diócesis de Guadix, vacante por muerte de D. Antonio Facundo Quevedo, á D. Pedro Antoni</t>
  </si>
  <si>
    <t>Sarrais, Ramón</t>
  </si>
  <si>
    <t>Ramón Sarrais</t>
  </si>
  <si>
    <t>individuo del mismo cuerpo; D. Melchor Andario, del gremio y claustro de la universidad de Cervera; D. Ramón Sarrais, médico y doctor en cirugía; D. Eugenio Aravaca, médico; D. Tomas de Llanes, teniente coronel de milicias; D. JuanAlmeyda; D. Manuel García Várela; D. Manuel Malo y Reyes; D. Blas</t>
  </si>
  <si>
    <t>Sarriac, Luis</t>
  </si>
  <si>
    <t>Luis Sarriac</t>
  </si>
  <si>
    <t>o el Rey á cadete de número al supernumerario D. Adriano Ca«aigneau , y ú supernumerario al guardia D. Luis Sarriac. El Rey se ha servido conferir en el regimiento de infantería de voluntarios de Estado compañía al teniente, graduado de capitán, D. Tomas Connelly. , •En el regimiento de.caballe</t>
  </si>
  <si>
    <t>Sartorio, Andrés</t>
  </si>
  <si>
    <t>Andrés Sartorio</t>
  </si>
  <si>
    <t>a resulta al Teniente de granaderos D. Baltasar de Ayala; á Teniente.de granaderos al de .fusileros D. Andrés Sartorio; á Tenientes de fusileros álos Subtenientes D. Pédro Chiari y Don Félix Paredes; á Subteniente de fusileros al Sargento primero distinguido</t>
  </si>
  <si>
    <t>Savary, Coronel</t>
  </si>
  <si>
    <t>Coronel Savary</t>
  </si>
  <si>
    <t>a Diciembres ob [&lt; ' ‘ El Mariscal Ñey páso el Vístula, y él dia 6 liégóá.Thórn: alaba mu-o cho al Coronel Savary* quien al frente del Regimiento de infantería, número *4 , y de los granaderos y escopeteros del 96 y del 6.° de infantería' ligera , atravesó el. primero el Vístula: en Thorn tuv</t>
  </si>
  <si>
    <t>Savary, General</t>
  </si>
  <si>
    <t>General Savary</t>
  </si>
  <si>
    <t>1*1 ARIO TtiI€ESIMO^ONO .DEL EXERCITO -GRANDE. v Posen* f de Diciembre. . . { V_____ * t u ' - * El General Savary maíéhó sébté 'Nieriburgó después der la toma de po-f sesión de Harneln. El Máy^ Geiieral Strachwitz, Gobernádorde Nieñbtirgo, pónijf algunas dificultades pata óápitülar; - peto li</t>
  </si>
  <si>
    <t>Savila, Francisco</t>
  </si>
  <si>
    <t>Francisco Savila</t>
  </si>
  <si>
    <t>ges de Ciro joven, con un discurso sobre la mitología de los antiguos:.traducción hecha en 1732 por D. Francisco Savila. El mérito de la obra no puede manifestarse mejor que diciendo ser semejante al Telémaco y al Anacarsis en el pintar las costumbres, religión, política y sabios por donde viaja Ci</t>
  </si>
  <si>
    <t>Schelling</t>
  </si>
  <si>
    <t>on el Príncipe Real y otros muchos personages de di tinción, protectores y amantes de las ciencias. Mr. Schelling, individuo de la academia, leyó un largo discurso sobre las relaciones de las artes de la pintura y de la escultura con la naturaleza. Aunque se hacen en Viena preparativos para e</t>
  </si>
  <si>
    <t>Scheuchzer</t>
  </si>
  <si>
    <t>voces de que el Rey no tardará mucho en hacer un viage á Amsterdam. SUIZA. Zurich jo de noviembre, Mr. Scheuchzer, comandante de batallón del primer regimiento suizo , ha venido á esta ciudad de orden del Landaman para informar acerca del estado de intereses y de las necesidades de dicho cuer</t>
  </si>
  <si>
    <t>Schmits</t>
  </si>
  <si>
    <t>y aun en invierno distribuye la casa diariamente 2% raciones de sopa á larunford. La generosidad ae Mr. Schmits, negociante rico de esta ciudad, que es ei dueño de la fábrica, y no trata de ganar cosa alguna en ella, es quien ha proporcionado los fondos y medios necesarios á los individuos</t>
  </si>
  <si>
    <t>SchofFer</t>
  </si>
  <si>
    <t>e á S. Luis, y en la de Bengoechea, calle de las Carretas. Tratado del arte de teñir, compuesto por Mr. SchofFer, miembro y Director de la real academia de ciencias de Stockolmo, ilustrado con notas del célebre Bergmán, y traducido del francés al castellano por L. D. G. y V.—El Distraido, el</t>
  </si>
  <si>
    <t>Schwager, Antonio</t>
  </si>
  <si>
    <t>Antonio Schwager</t>
  </si>
  <si>
    <t>^3 8 Eduardo Young, traducidas y corregidas por D. Antonio Schwager, capitán primero del regimiento suizo de Reding, n. 2.0, que hace el 4.0 de las obras selecta* del mismo autor ; aumentado ton la oda de la mañana, que escribió en aleman Mr. Hall</t>
  </si>
  <si>
    <t>Schwager, Antonio Benito</t>
  </si>
  <si>
    <t>Antonio Benito Schwager</t>
  </si>
  <si>
    <t>regimiento suizo de Reding núm. 2° se ha servido el Rey promover á Capitán primero al de granaderos D. Antonio Benito Schwager: en el dé Reding núm. 5.0 á Subteniente de granaderos al de fusileros Don Agustín Chichery; y en el de Traxler á Subteniente al Cadete D. Leoncio Belb. En el regimiento de caballe</t>
  </si>
  <si>
    <t>Schwaller, Francisco Manuel</t>
  </si>
  <si>
    <t>Francisco Manuel Schwaller</t>
  </si>
  <si>
    <t>rlos D’aunnoi. El Rey se ha servido promover á capitán primero en el regimiento suizo de Wimpífen á D. Francisco Manuel Schwaller, capitán agregado al mismo, y á teniente al subteniente D. Matías Rubel: en el dé Traxler á capitán primero al de granaderos D. Josef Zelger ; á capitán de granaderos al capitán s</t>
  </si>
  <si>
    <t>Schwanden, Luis</t>
  </si>
  <si>
    <t>Luis Schwanden</t>
  </si>
  <si>
    <t>teniente en el regimiento suizo de Traxler al subteniente D. Pedro Amarca; á subteniente al cadete D Luis Schwanden ; y en el de Wimpflea á subteniente de bandera al cadete Don Josef Wirtz. S. M. se ha servido conferir compañías en los regimientos de dragones del Rey y Sagunto á los ayudantes D</t>
  </si>
  <si>
    <t>Schwanden, Remigio</t>
  </si>
  <si>
    <t>Remigio Schwanden</t>
  </si>
  <si>
    <t>. Josef María Carvajal, teniente coronel del del Príncipe: capitán primero en el suizo de Traxler á D. Remigio Schwanden, capitán de granaderos del mismo : ayudante en el de Preux al teniente D. Josef Ignacio Willa: subteniente en el de Betschart al cadete D. Juan JosefWohleb: subteniente de granade</t>
  </si>
  <si>
    <t>Scio de San Miguel, Felipe</t>
  </si>
  <si>
    <t>Felipe Scio de San Miguel</t>
  </si>
  <si>
    <t>todas las ediciones publicadas de la versión castellana que de la sagrada Biblia hizo el limo. Sr. D. Felipe Scio de San Miguel, electo obispo de Segovia. Quaderno i.°, que contiene las 36 estampas correspondientes al primer tomo que ahora se publica de la novísima edición de la versión misma. Se hallará e</t>
  </si>
  <si>
    <t>Scio, Felipe</t>
  </si>
  <si>
    <t>Felipe Scio</t>
  </si>
  <si>
    <t>os que tenganse!. mi&amp;mo..plano que se dio en tamaño mayor con la biblia, traducida por el limo. Sr. D. Felipe Scio, 4 Lolrs. en pasta. $e hallará én la libre-*&gt; ría de Buxguillos, frente al)cementerio de S.;Sebastian. ú 1 L r cL -i £.4 !Ifi í ’sÜjW.tfMnNTO '</t>
  </si>
  <si>
    <t>octubre próximo. UBROS. Los suscriptores á la Biblia vufgata latina y castellana, por el limo. Sr. D. Felipe Scio, acudirán á recoger el te mo a ®, y adelantar el importe del 3.0 á la portería del colegio de la* Escuelas Pías del Avapics, donde se bailarán también la* 4 entregas de estampas c</t>
  </si>
  <si>
    <t>todas las ediciones publicadas de la versión castellana, que de la sagrada biblia hizo el limo. Sr. D. Felipe Scio1 de S. Miguel, electo obispo de Segovia: quaderno 2.0, que contiene 41 estampas correspondientes al tomo 2° de la novísima edición que ahora se publica Se hallará en la librería d</t>
  </si>
  <si>
    <t>Sebastiani, General</t>
  </si>
  <si>
    <t>General Sebastiani</t>
  </si>
  <si>
    <t>derá hasta el último extremo la integridad é independencia de la Sublime Puerta contra la Rusia. El General Sebastiani, Embaxador de Francia, tiene mucho crédito con el Sultán y con sus Ministros., Según las cartas de Silesia parece que se ha comenzado ya á demoler la fortaleza de Breslau. Las tro</t>
  </si>
  <si>
    <t>Seckendorf, Teniente General</t>
  </si>
  <si>
    <t>Teniente General Seckendorf</t>
  </si>
  <si>
    <t>tacó al General bávaro Minucci con su brigada para sostenerle. El General Montbrun ha dado parte al Teniente General Seckendorf de los pormenores del combate , y en substancia dice: que de los 300 caballos que mandaba, había destacado un esquadrón para reconocer á Strehlen, pa cuyas casas estaba oculta lá infante</t>
  </si>
  <si>
    <t>Sedaño, Francisco</t>
  </si>
  <si>
    <t>Francisco Sedaño</t>
  </si>
  <si>
    <t>se ha servido conceder en el regimiento de infantería de Cantabria subtenencia de bandera al cadete D. Francisco Sedaño. Ea el regimiento de caballería del Rey se ha servido S. M. conceder tenencia al alférez D. Miguel Sánchez Barriga: en los del Principe é Infante empleos de portaestandartes á ios</t>
  </si>
  <si>
    <t>Sedeño, Tomás</t>
  </si>
  <si>
    <t>Tomás Sedeño</t>
  </si>
  <si>
    <t>co, y cabo subalterno del capitán general de aquella isla, al coronel del real cuerpo de ingenieros D. Tomas Sedeño. En el regimiento de milicias disciplinadas de infantería de la misma isla, ha conferido el rey compañía á D. Luis Hiño josa, teniente del propio cuerpo; noinbrando teniente en él</t>
  </si>
  <si>
    <t>Sedney Smith</t>
  </si>
  <si>
    <t>os ministros. En él se resolvió, según se ha dicho después , preparar otra expedición , que mandará Sir Sedney Smith, el qual tuvo el dia 3 una larga conferencia con los lores del almirantazgo. La esquadra que irá á sus órdenes se compondrá de ios navios Hibernia de 130 cañones, Londres de 98 ,</t>
  </si>
  <si>
    <t>Ségur</t>
  </si>
  <si>
    <t>evado la cabeza: era un oficial de mucho mérito. Al gran duque de Berg le han muerto dos caballos. .Mr. Ségur, uno de sus edecanes, ha perdido un brazo. Mr. Lameth, edecán del mariscal Soult, ha quedado herido, y lo mirmo Mr. Lagrange, coronel del 7.® regimiento de cazadores de á caballo.</t>
  </si>
  <si>
    <t>Segur, Capitán</t>
  </si>
  <si>
    <t>Capitán Segur</t>
  </si>
  <si>
    <t>corsarios Speculateur y Glaneur, del mismo puerto, han hecho 5 presas.__ El Conrear, de Dunquerque, Capitán Segur , ha enviado á Fiesinga una embarcación hamburguesa de 3 palos, cargada de vino, cerveza &amp;c., .que ha reapresado de los ingleses.»_La Magidenne, de St. Malo, ha entrado con un buq</t>
  </si>
  <si>
    <t>Sei, Felipe</t>
  </si>
  <si>
    <t>Felipe Sei</t>
  </si>
  <si>
    <t>a en español, y anotada conforme aV sentido de los SS. PP. y expositores sagrados, por el limo. Sr. D. Felipe Sei© de S.Miguefj de las escuelas pias, y obispo de Segovia •. g.a edición. El aprecio que ha hecho de osta obra el público sabio, y el ansia con que se solicitan sus exemplares forma</t>
  </si>
  <si>
    <t>Selisis Palomo, Ángel</t>
  </si>
  <si>
    <t>Ángel Selisis Palomo</t>
  </si>
  <si>
    <t>atías Espantoso» D. Andrés González Diez, D. Gaspar de Soto y Parga, D. Ramón Abad» D. Josef Jenér, D. Angel Selisis Palomo , D. Francisco Xavier Rivadulla y D. Gregorio Calderón y Durango: en geometría elemental D. Josef Ordavidcluz, D. Manuel Cedrón, D. Antonio Valentín Diez, D. Josef Blan*? co Atidr</t>
  </si>
  <si>
    <t>Selkirk, Lord</t>
  </si>
  <si>
    <t>Lord Selkirk</t>
  </si>
  <si>
    <t>piden, las concesiones parciales, arrancadas por la importunidad, no harán mas que agrayar el mal.” Lord Selkirk acabó su discurso lastimándose de que el actual estado de la Irlanda no permita pensar desde ahora en la emancipación de los católicos; si bien cree que sus calamida-¡ des van ya</t>
  </si>
  <si>
    <t>Selma, Fernando</t>
  </si>
  <si>
    <t>Fernando Selma</t>
  </si>
  <si>
    <t>Bendición de Jacob á sus nietos, por el del Guercino, que están grabando los acreditados profesores D. Fernando Selma y D. Rafael Estcve, ambos grabadores de cámara de S. M. Los que reside? en las provincias pueden suscribir, si les acomoda, en las administraciones principales de correos, como se exe</t>
  </si>
  <si>
    <t>Semele</t>
  </si>
  <si>
    <t>ral Rapo, Edecán del Emperador, recibió un furilazo estando á la cabeza de su división de dragones. Mr. Semele , Coronel del bizarro 24.0 „de línea, fué herido, y al Mariscal Augerea 11 le mataron un caballo. En este intermedio el Marisca! Soult había llegado con su cuerpo de exército áMoi</t>
  </si>
  <si>
    <t>Sempere y Guarinos, Juan</t>
  </si>
  <si>
    <t>Juan Sempere y Guarinos</t>
  </si>
  <si>
    <t>brería de Munita, calle de las Carretas. Historia del luxo y de las leyes suntuarias de España, por D. Juan Sempere y Guarinos, del consejo de S. M. y su fiscal en la real chancillería de Granada. Se trata en ella del luxo de los españoles de los primitivos tiempos, en el del dominio de los romanos, godos</t>
  </si>
  <si>
    <t>Señas, Matías</t>
  </si>
  <si>
    <t>Matías Señas</t>
  </si>
  <si>
    <t>id(;,7-4.4 ... ·~4" Matías Señas ........... de l\1ateo ..•.•• Potes............................. 1796 .• Presido 103 ..• 18. Miguel Alcover•..... de Vicente.... Despuch ....................</t>
  </si>
  <si>
    <t>Señor Mustafá</t>
  </si>
  <si>
    <t>á que continuase sin inquietarse en sus ocupaciones. El 26 fue proclamado gran Señor Mustafá, hijo de Achmet, y sobrino de Selim, Príncipe de 28 años de edad, quien á otro dia dió orden á su tio y predecesor de que tomase un veneno: Selim obedeció, y murió á pocas horas. Se com</t>
  </si>
  <si>
    <t>Señores Marqués Caballero</t>
  </si>
  <si>
    <t>4 de-agosta. En atención á- tos distinguidos méritos y servicios de los Excmo?, Señores Marqués Caballero, secretario^ de* Estado y del despacho de Gracia y Justicia, é interino del de Gurrraj D. Miguel Cayetano-Soler, secretario de Estado y del despacho de Hacienda ‘r Baylío Fr. D. Francisco Gil</t>
  </si>
  <si>
    <t>Seoane, Mateo</t>
  </si>
  <si>
    <t>Mateo Seoane</t>
  </si>
  <si>
    <t>irector los entregó en el orden siguiente: En la cátedra de agricultura se adjudicó el premio i.° á D. Mateo Seoane: 2.0 á D. Francisco Amo. En la de geografía el i.° ai mismo D. Mateo Seoane; 2.0 á D. Telesforo Barrio: 3.0 á D. Mateo Llanos. El exercicio que al tiempo del ex&amp;men hizo este niño</t>
  </si>
  <si>
    <t>Sequera, Antonio</t>
  </si>
  <si>
    <t>Antonio Sequera</t>
  </si>
  <si>
    <t>entes que han seguido en el año próximo pasado la clase de los estudios sublimes D. Josef Zambrano, D. Antonio Sequera y D. Joaquín Villava; v á fin de dar á este acto la solemnidad y decoro propios de las elevadas ideas que se han tenido presentes por S. A. al tiempo de su institución , convidó el re</t>
  </si>
  <si>
    <t>Sequeyros, Antonio</t>
  </si>
  <si>
    <t>Antonio Sequeyros</t>
  </si>
  <si>
    <t>. Felipe Andrade; tenencia al subteniente D. Antonio Cas2iioves, y subtenencia de bandera al cadete D. Antonio Sequeyros: en los de Sevilla y América subtenencias de bandera á los cadetes D. Ramón Arias y Quiroga, D. Josef Campero y D. Pedro Rute ; y subtenencia de bandera en el primer batallón de v</t>
  </si>
  <si>
    <t>Serafín Manzano, Juan</t>
  </si>
  <si>
    <t>Juan Serafín Manzano</t>
  </si>
  <si>
    <t>tisfechos de sus respuestas. A continuación de ellas leyó un breve discurso el maestro de geometría D. Juan Serafín Manzano, manifestando los progresos prácticos de sus discípulos D. Francisco de Paula Colom y Osorio, D. Juan de la Piedra, D. Vicente Fernandez de la Pradilla ,D. Juan Josef Menendez y D</t>
  </si>
  <si>
    <t>Serapio Sinues</t>
  </si>
  <si>
    <t>propia santa iglesia, y del secretario principal: asistiéron en calidad de examinadores los socios D. Serapio Sinues, catedrático de agricultura , médico colegial, D. Josef Hernando y D. Tomas López, también médicos colegiales, y secretarios de las clases de agricultura y artes, D. Pedro Gregori</t>
  </si>
  <si>
    <t>Serenísimo Juan de Austria</t>
  </si>
  <si>
    <t>** virtud de sus respectivas patentes é instrucciones el Serenísimo Don Juan de Austria, hijo del Señor Rey Dan Cáríos I, el segundo Don Juan de Austria, hijodel Señor Don Felipe IV, el Infante Don Felipe , mi muy amado tio y suegro; y las que siempre han correspondido al</t>
  </si>
  <si>
    <t>Serrano Polo, Antonio</t>
  </si>
  <si>
    <t>Antonio Serrano Polo</t>
  </si>
  <si>
    <t>a de Cuba D. Rafael de la Llave; y para oidor supernumerario al asesor de la provincia de Comayagua D. Antonio Serrano Polo. Ultimamente ha nombrado S. M. para la alcaldía mayor de Atitan y Tepenatitan, en el reyno de Goatemala, á D. Gabriel García Vallecillos; y para una plaza de agente de número de l</t>
  </si>
  <si>
    <t>Serrano, Juan</t>
  </si>
  <si>
    <t>Juan Serrano</t>
  </si>
  <si>
    <t>nto de infantería de las Ordenes Militares subtenencia de bandera al sargento primero de granaderos D. Juan Serrano. , ou",. - ■■ En América. El rey se ha servido conferir snbtenencia dé bandera en el regimiento de. infanteríade Puebla^péíííeí féynode Nueva-España, á Don Juan Francisco Paredes</t>
  </si>
  <si>
    <t>Servantes, Nicolás</t>
  </si>
  <si>
    <t>Nicolás Servantes</t>
  </si>
  <si>
    <t>l mismo cuerpo; á Comandante de Esquadron al Capitán D. Andrés Qrdoñez; á Capitanes á los Tenientes D. Nicolás Servantes y D. Mateo González; á Ay udante al Teniente D. Juan Mapuel Figueroa; á Tenientes á los Alféreces D. Ncrberto Alo-ólla, D.Gregorio Santayana,D. ManuelNacero , Don Pedto, Dueñas, D. Ra</t>
  </si>
  <si>
    <t>Seuchet, General</t>
  </si>
  <si>
    <t>General Seuchet</t>
  </si>
  <si>
    <t>s,, han,salido heridos,por la metrallad Los Edecanes JVoisin, del Mariscal Lannes, y. Curial,. .del General Seuchet, han sido muertos gloriosamente. El Mariscal Lannes ha sido ligeramente herido de ,un balazo. En esta ,ocasión ha manifestado el 5.0 cuerpo de exército lo que pueden los valientes</t>
  </si>
  <si>
    <t>Severino de Salazar</t>
  </si>
  <si>
    <t>oz de Pando, D. Felipe_ Carrasquedo, D. Casimiro Osorio, D. Josef de Torres, D. Mauricio del Valle, D. Severino de Salazar, Doña Josefa Zurariain,D.Francisco del Valle, D. Francisco Fernandez de Villa, D. Estéban Beulf, D. Cayetano Franques, D. Pascual &lt;Gisbert,T&gt;. Andrés de A yala,D.Félix deRivas, la</t>
  </si>
  <si>
    <t>Sevillano, Ramón María</t>
  </si>
  <si>
    <t>Ramón María Sevillano</t>
  </si>
  <si>
    <t>a una canongía de la metropolitana de Zaragoza, vacante por muerte de D. Pedro Alonso de la Vega, á D. Ramón María Sevillano, oidor de la audiencia de Aragón: á I&gt;. Josef Bellido para un beneficio patrimonial de la parroquial de Ainzon, diócesis de Zaragoza, vacante por fallecimiento de D. Antonio Perez</t>
  </si>
  <si>
    <t>ncia de dragón mas antiguo, para la plaza de oidor de la misma audiencia * vacante por promoción de D. Ramón María Sevillano, á una canongía de la metropolitana de Zaragoza; y para su resulta á Don Fernando Marcfti El rey se har servido conferir la sargentía mayor del regimiento de irj-?. fágate ría de</t>
  </si>
  <si>
    <t>el Rey concederle h*&gt;s honores de contador de exército. Condescendiendo S. M. con la. solicitud de D. Ramón María Sevillano, oidor que sido, de la real audiencia de Aragón, ¡yi ahora canónigo de ia metropolitana de Zaragoza, se ha servicio resolver que se le conserven los honores de oidor de anielia re</t>
  </si>
  <si>
    <t>Seyboldsdárf</t>
  </si>
  <si>
    <t>eraL El barón de Rechberg, nuevo ministro de Baviera en nuestra córte, ha llegado á esta ciudad con Mr. Seyboldsdárf, -secretario dé la legación. Un. día de estos presentará á S. M. sus credenciales. - JLeipskk 29 de enero* La noticia de la reconquista de Buenas- Ayres por Tos españoles ha causa</t>
  </si>
  <si>
    <t>Seyffer</t>
  </si>
  <si>
    <t>'elheqib^4dorcqoe.dar un gran- rodeo* Munich 2 de junio» . . Sqgun, el cácalo de;nuestro astrónomo, Mr. Seyffer, el nnevo planeta descubierto por el.Dr.jíOlvers en Brema dista del &gt;0! 84*250® leguas, y con^qyey(tqr períqdo..Wiiy35i9di^s;y medio? Esté cálculo está confirmado por las observac</t>
  </si>
  <si>
    <t>SeyfFer</t>
  </si>
  <si>
    <t>formaba un triángulo casi equilátero con el diamante de la corona del norte y la estrella torturo, Mr. SeyfFer ha observado también que á cierta distancia del cuerpo del cometa se divide la cola en dos trozos principales, y cada uno de estos en una gran multitud de otros pequeños. La longi</t>
  </si>
  <si>
    <t>Sharpe</t>
  </si>
  <si>
    <t>o nombrado del consejo privado del Rey, y hoy ha prestado juramento, y tomado posesión de su plaza. Mr. Sharpe, encargado de una comisión extraordinaria de nuestra corte para la de Rusia, llegó el 29 de agosto á Petersburgo. Todas las relaciones que recibimos de Dinamarca concuerdan en que</t>
  </si>
  <si>
    <t>Sheridam</t>
  </si>
  <si>
    <t>ntar ideas contrarias á su interes particular y al general de la nación. Mr. Windham, Mr. C. Polé y Mr. Sheridam defendieron al lord S. Vicente, representándole como un bienhechor de la marina inglesa. La cámara pasó á la votación, y fue desechada la propuesta del lord Cochrane. • Sesión del 13</t>
  </si>
  <si>
    <t>Sheridan</t>
  </si>
  <si>
    <t>tablecimientos nueves de esta especie, muchos obstáculos, aun después de allanados los principales^ Mr. Sheridan apoyó el discurso de Mr. Wilberforce, y añadió que si la compañía no se hubiera encargado de la manutención de los negros cimarrones y de los habitantes de la Nueva-Escocia, el go</t>
  </si>
  <si>
    <t>honor de su corona y el verdadero interes de su pueblo.” CAMARA DE LOS COMUNES. En la sesión del 13 Mr. Sheridan se le vantó y dixo: ,,El asunto de que voy á hablaros , es de la mayor importancia. La sicuacioa de Irlanda es mas crítica cada dia: hoy mismo se da la sanción real al bilí, que l</t>
  </si>
  <si>
    <t>l mismo efecto. Las dos que se han tomado últimamente no son mas que un disfraz de la ley marcial.” Mr. Sheridan acabó su discurso proponiendo la resolución siguiente: ,,Que la cámara, luego que empiece la sesión próxima, examinará con la mayor seriedad el estado y situación de la Irlanda, á</t>
  </si>
  <si>
    <t>Sheridaxn</t>
  </si>
  <si>
    <t>nadie se había opuesto al bilí, y que solamente se trataba de fixar su duración. Por el contrario, Mr. Sheridaxn dixo que el partido de oposición jamas aprobaría la providencia propuesta, porque todo el mundo conviene en que esta resolución no debe tomarse sino en el caso de necesidad; la qu</t>
  </si>
  <si>
    <t>Sicard</t>
  </si>
  <si>
    <t>aury de la plaza vacante por fallecimiento de Mr. Target. El discurso de S. Erna, y la respuesta de Mr. Sicard, que hacia de presidente, se llevaron toda la sesión , que habia excitado el mayor interes y atraído un concurso extraordinario. Continúan las noticias favorables de Constantinopl</t>
  </si>
  <si>
    <t>Sichar, Pablo</t>
  </si>
  <si>
    <t>Pablo Sichar</t>
  </si>
  <si>
    <t>ncial de Tierra santa: para el de Barcelona, vacante por muerte del Rev. D. Pedro Díaz de Valdé;, á D. Pablo Sichar, chispo in partibus de Gerra, y auxiliar de aquella diócesi: para una ración de la catedral de Lérida, vacante por promoción de D. Diego Andrés Teruel al deanato de la colegiata d</t>
  </si>
  <si>
    <t>Sidmouth, Lord</t>
  </si>
  <si>
    <t>Lord Sidmouth</t>
  </si>
  <si>
    <t>votaron á favor de la nueva cláusula, y 46 en contra. CAMARA DE LOS PARES. Sesión del 10 de agosto. Lord Sidmouth impugnó el plan de defensa del reyno, propuesto por el lord Castlereagh, sosteniendo que no hay otro mejor que el que él propuso á principios de la guerra. Habló de la rapidez de</t>
  </si>
  <si>
    <t>Sidney</t>
  </si>
  <si>
    <t>r:b &lt;gó la noticia posiriva.de ia Vuelta dé Sir Sidney. Sniith á Inglaterra. Esté ■Almirante no ha pedido conformarse con el General Stuart ni con su sucesor, y vuelve á nuestros puertos á bordo del‘navio. Pigre. h\: S. l iood ha sali</t>
  </si>
  <si>
    <t>dos navios, y no se ha. vuelto á taber.de ellos, El navio Pompeyo¿ que ha conducido á Trrgfaterra á Sir Sidney«r$mith, está haciendo quarentená en la bahía de Causandl Luego que la concluya, el contra-almirante, cuya salud eftá muy quebrantada, pasará á temar las aguas de Bath. Sus indhpos</t>
  </si>
  <si>
    <t>Sidney Smith</t>
  </si>
  <si>
    <t>nte volver á la empresa ; pero nada se resolvió por la diferencia de opiniones entre Mr. Arbuthnot, Sir Sidney Smith , elrcontra-almirante Louis y el almirante Duckworth. Algunas cartas particulares dicen que los comandantes pensaban dirigirse á Esmirna, con la idea de resarcir el mal suceso] de</t>
  </si>
  <si>
    <t>e Duckworth, quien ha dexado el mando de la esquadra al almirante Thornborough. Se espera también á Sir Sidney Smith, que vuelve á Inglaterra en el navio Pompeyo, de 80 cañones. El Real Jorge ha traído la noticia de una desgracia sucedida en Malta el 5 de abril. El regimiento de Frohberg, que es</t>
  </si>
  <si>
    <t>rmanecían todavía en aquella colonia las expediciones del almirante Murray y dei general Crauífurd. Sir Sidney Smith ha llegado á Plimouth en el navio Pompeyo. Trae la noticia de un reves que han experimentado nuestras tropas en Egipto. Parte de .las que habían desembarcado eií Aleíand ría sé ha</t>
  </si>
  <si>
    <t>lo á nuestros puertos. PORTUGAL. Lisboa 2 § de noviembre. Un parlamentario ingles de la división de Sir Sidney Smith, que ha establecido su crucero á la boca de nuestro puerto, traxo ayer un oficio del tenor siguiente: ,,Se hace saber por la presente á quienes corresponda, que siendo notorio que</t>
  </si>
  <si>
    <t>que la fiebre amarilla hace grandes estragos en Charlestowri, capital de la Carolina meridional. ' Sir Sidney Smith se ha hecho á la vela con 5 navios de línea de Plimouth. Debe tocar en Corck, donde se le incorporarán otros baxeles. ' El conde de Pembrc cke ha vuelto de su embaxada de Viena á</t>
  </si>
  <si>
    <t>rdo,, si es posible, la familia real portuguesa, y de traerse la esquadra de aquella nación ; y que Sir Sidney Smith se encamina á Sicilia., í Acabamos de recibir .noticias de Lisboa, por el paquebot Valsingham, que salió del Tajo el 12 de este mes. La noche anterior intentó comunicar con tierra</t>
  </si>
  <si>
    <t>Sidney- Smith</t>
  </si>
  <si>
    <t>ará consigo un estado mayor numeroso* y el total de las tropas á sus órdenes llegará á 10$ hombres. Sir Sidney- Smith se ha hecho á la vela con 3 navios de línea para incorporarse con la esquadra del almirante Luis* que cruza á la vista de Constantinopla. De todos los puertos de Inglaterra llegan</t>
  </si>
  <si>
    <t>Siduey Smith</t>
  </si>
  <si>
    <t>todos estos miramientos, al paso que rehusaba corresponder al fuego de los ca tillos» daba orden á Sir Siduey Smith de quemar un naví.» de línea, 4 fragatas y 3. corbetas turcas que estaban fondeadas en la co^ta, protegidas de las baterías de tierra. A menos que el almirante Duckworth no haya creí</t>
  </si>
  <si>
    <t>Sierra, Pedro Juan</t>
  </si>
  <si>
    <t>Pedro Juan Sierra</t>
  </si>
  <si>
    <t>S 2 ... l. Cabo 2.° Pedro Juan Sierra .... de Pedro ....... Alcira .......................... 1797 .. Licen,. 611 ... 16- Pelegrin Perez ........ de J</t>
  </si>
  <si>
    <t>Silvestre de Sacy</t>
  </si>
  <si>
    <t>diarios del exéruito grande durante las dos campañas de 805 y 8có; que la traducción árabe la tara Mr. Silvestre de Sacy, y la turca Mr. K iefer, que ha sido muchos años intérprete de la embaxada de Francia en Constantinopla, y estuvo preso en las Siete-torres quando la expedición de</t>
  </si>
  <si>
    <t>Simeón Fernández</t>
  </si>
  <si>
    <t>preservándoles de este modo del peligro de las viruelas naturales.— En virtud de sus exhortaciones D. Simeón Fernandez</t>
  </si>
  <si>
    <t>Sinfcroso Mutis</t>
  </si>
  <si>
    <t>on las que han remitido ios correspondientes del jardín, entre quienes se distingue particularmente D. Sinfcroso Mutis, y ya con las que ban colectado en la península los alumnos del establecimiento* con el objeto principal de recoger materiales para la Flora. Fueron al intento destinados á divers</t>
  </si>
  <si>
    <t>Sinzendorf, Príncipe</t>
  </si>
  <si>
    <t>Príncipe Sinzendorf</t>
  </si>
  <si>
    <t>uyos á S. A. I. el archiduque Juan, al Príncipe reynante de Seharzenberg, al Príncipe Esterhasy, al Príncipe Sinzendorf, al conde Antonio de Eamberg, y al conde Rodolfo de Czernirfi. Eos títulos de académicos fueron presentados á S. A. I. el archiduque Juan por una diputar ion, y á los demás sugeto</t>
  </si>
  <si>
    <t>Six</t>
  </si>
  <si>
    <t>zo ayer la abertura con el ceremonial acostumbrado. En la sesión de hoy ha sido nombrado presidente Mr. Six. Las juntas no se celebrarán en el palacio de SS. AA. PP., que se está reparando en la actualidad, sino en el que se llama del Príncipe Mauricio. Se aguarda de un instante á otro</t>
  </si>
  <si>
    <t>Sixto de Espinosa, Manuel</t>
  </si>
  <si>
    <t>Manuel Sixto de Espinosa</t>
  </si>
  <si>
    <t>osef de Espinosa, secretario; el capitán de navio D. Martín Fernandez Navarrete, contador; y el Sr. D. Manuel Sixto de Espinosa, del consejo de Estado, tesorero del Almirantazgo, y general de la marina en ccmi-ion.__ S. A. S. arengó después al consejo manifestando en breves y muy enérgicas expresiones las</t>
  </si>
  <si>
    <t>Sixto Espinosa, Manuel</t>
  </si>
  <si>
    <t>Manuel Sixto Espinosa</t>
  </si>
  <si>
    <t>a tenido á bien dirigir el real decreto siguiente: „ En atención á los méritos jr circunstancias de D. Manuel Sixto Espinosa, mi Consejero de Hacienda* he venido en concederle los honores de mí consejo de Estado.” Habiendo indicado el Serenísimo Señor Príncipe de la Paz, Generalísimo Almirante , que el</t>
  </si>
  <si>
    <t>Sixto García, Cayetano</t>
  </si>
  <si>
    <t>Cayetano Sixto García</t>
  </si>
  <si>
    <t>el puesto de Rosales, gradas de S. Felipe. Plan razonado de estudios de humanidades, dispuesto por D. Cayetano Sixto García, presbítero. Se hallará en la librería de Castillo. Papel y librito de quarenta horas para el año de 1808. Se hallará en las librerías de Escribano, calle de las Carretas, y de Mu</t>
  </si>
  <si>
    <t>Smith</t>
  </si>
  <si>
    <t>tan favorable como puede serlo otra qualquiera, á los verdaderos intereses políticos de la nación. Mr. Smith dixo que en un país como la Irlanda, donde el gobierno protestante cobra todos los diezmos de los bienes de los católicos, este gobierno está indudablemente obligado á cuidar de l</t>
  </si>
  <si>
    <t>r que fue de los Estados-Unidos, á Mr. Snrdth, que ío es actualmente por el estado del Ohio, á otro Mr. Smith, de NuevaYorek, y á Mrs. Comfort, Tyler y Floyd. Como en este negocio ha precedido el examen de 53 testigos, y se ha oido á los abogados por espacio de un mes y 3 dias, es preciso</t>
  </si>
  <si>
    <t>Smith, Juan</t>
  </si>
  <si>
    <t>Juan Smith</t>
  </si>
  <si>
    <t>2 tomos en 8.° á 30 rs. en pasta. Principios de economía política de Herrenschwand, traducidos por D. Juan Smith, brigadier de la real armada: un tomo en 4.0 á 15 rs. en pasta. Se hallarán en la librería de Argueta. MUSICA. En la librería de Burguillos, frente al cementerio de S. Sebastian,</t>
  </si>
  <si>
    <t>Snrdth</t>
  </si>
  <si>
    <t>han declarado en el mismo caso al general Jonathan Dayton, senador que fue de los Estados-Unidos, á Mr. Snrdth, que ío es actualmente por el estado del Ohio, á otro Mr. Smith, de NuevaYorek, y á Mrs. Comfort, Tyler y Floyd. Como en este negocio ha precedido el examen de 53 testigos, y se h</t>
  </si>
  <si>
    <t>Sobolewski Luszcrewski</t>
  </si>
  <si>
    <t>, presidente , Gutackcwíki, Estanislao Potocki, Dzialintski, Wibicki, Biiinski, Sobolewski Luszcrewski, secretario. Apuntaremos los artículos mas esenciales. Í a religión católica será la del estado; pero todos los cultos serán libres. El ducado de Varsovia se dividirá en 6 diócesis, gobernada</t>
  </si>
  <si>
    <t>Sobrado, Felipe</t>
  </si>
  <si>
    <t>Felipe Sobrado</t>
  </si>
  <si>
    <t>D. Francisco Anido Fernandez, alcalde del crimen mas .antiguo de ella ; y para la resulta de éste á D. Felipe Sobrado. Asimismo para la plaza supernumeraria de oidor de la chancillería de Valladolid á ;D. Ramón Pisón, alcalde del crimen honorario de la misma: para igual plaza supernumeraria de oi</t>
  </si>
  <si>
    <t>Sobrado, Juan</t>
  </si>
  <si>
    <t>Juan Sobrado</t>
  </si>
  <si>
    <t>de granaderos, graduado de capitán, D. Diego Lorenzo ;-tenencias á los subtenientes \de granaderos D. Juan Sobrado, Don Manuel Torregrosa y ÍL Juan Espinosa; y subtenencias al sargento primero D. Ignacio AyzE, y á-los cadetes D. Tomas^y D.- Josef Antonio AL¿ dao^ y&gt; D.-Francisco Xavier Mónftué</t>
  </si>
  <si>
    <t>Socias de Fangar, Sebastián</t>
  </si>
  <si>
    <t>Sebastián Socias de Fangar</t>
  </si>
  <si>
    <t>la villa de Velamazín, en el obispado de Sigüenza: para otra canongía de la catedral de Mallorca á D. Sebastian Socias de Fangar, capellán de la fábrica de porcelana del sitio del Buen-Retiro; y para una capellanía de la villa del Castillo de Garci Muñoz, diócesi de Cuenca, á D. Agustín García y Aranda. El</t>
  </si>
  <si>
    <t>Sociats y Soler, Francisco</t>
  </si>
  <si>
    <t>Francisco Sociats y Soler</t>
  </si>
  <si>
    <t>lid, que este dexa, á J). Juan Bermejo; y para la vara de Alcalde mayor de Castellón de la Plana i. D. Francisco Sociats y Soler,. Igualmente ha venido el rey en nombrar á D. Josef Mier y Salcedo para una plaza nuevamente creada de alcalde de la quadra de la real audiencia de Grados de Sevilla.' En América.</t>
  </si>
  <si>
    <t>Sofía Federica-Fiama, Princesa</t>
  </si>
  <si>
    <t>Princesa Sofía Federica-Fiama</t>
  </si>
  <si>
    <t>l Neptuno, de 80 cañones .• Dinamarca, Princesa Real María , Justicia , Tres coronas, Skiold, Odin, Princesa Sofía Federica-Fiama, y Marte, de 74: Príncipe Real Federico, y Príncipe heredero Federico, de 72 : Noruega, de 6‘á: Seiren , Princesa Luisa Augusta, y Dithmarschen , de 64: Príncipe Cristiano Federic</t>
  </si>
  <si>
    <t>Soier, Juan</t>
  </si>
  <si>
    <t>Juan Soier</t>
  </si>
  <si>
    <t>ases á los mas aprovechados, comisionó L junta á sus consiliarios ios señores marques de Benavent y D. Juan Soier para presidir las ©posiciones de los aspirantes, que fueron 15 , las quales ha presenciado un numeroso concurso, manifestando la mayor satisfacción por las pruebas nada equívocas</t>
  </si>
  <si>
    <t>Soiís y Lein, Francisco</t>
  </si>
  <si>
    <t>Francisco Soiís y Lein</t>
  </si>
  <si>
    <t>servido nombrar para la dignidad de chantre de la catedral de Orense, vacante por fallecimiento de D. Francisco Soiís y Lein, i D. Francisco Ordoñez, canónigo de la misma iglesia: para esta resulta á D. Jacinto Nicolás Taboada: para .la canongía cardenalicia de la misma catedral de Orense, vacante por m</t>
  </si>
  <si>
    <t>SokolmcH, Conde</t>
  </si>
  <si>
    <t>Conde SokolmcH</t>
  </si>
  <si>
    <t>ro benignísimo Señor, que se digne hacer do modo que la Polonia renazca dé sus cenizas.” Arenga del Conde SokolmcH, Presidente del cuerpo de la Nobleza del departamento de Posen. : ; „Muy augusto invencible Emperador del universo: vuestros innúmeraDies triunfos, ó César augusto, os han traído</t>
  </si>
  <si>
    <t>Solary, Bernardo</t>
  </si>
  <si>
    <t>Bernardo Solary</t>
  </si>
  <si>
    <t>idencia del Sr. D. León de Sagasta, teniente corregidor de esta villa, juez de la quiebra hecha por D. Bernardo Solary y compañía, de este ccmc'cio, y escribanía de D. Ramón de Milla Cuellar, se ha mandado sacar á subasta pública, por término de 30 dias contados desde 14 del presente, una casa sita</t>
  </si>
  <si>
    <t>Soler, Miguel Cayetano</t>
  </si>
  <si>
    <t>Miguel Cayetano Soler</t>
  </si>
  <si>
    <t>á su instituto, la junta de gobierno de la misma compañía, y ambas su presidente nato el Excmo. Sr. D. Miguel Cayetano Soler, secretario de Estado y del despacho universal de Hacienda de Indias, si sus ocupaciones se lo permitiesen. Los accionistas que tuviesen 20 6 ma1? acciones propias, deberán hacerl</t>
  </si>
  <si>
    <t>Solís y Lein, Francisco</t>
  </si>
  <si>
    <t>Francisco Solís y Lein</t>
  </si>
  <si>
    <t>Taboada: para .la canongía cardenalicia de la misma catedral de Orense, vacante por muerte de dicho D. Francisco Solís y Lein, ¿ D. Antonio Valencia Morales: para otra canongía de la catedral de Tudela, vacante por fallecimiento de D. Juan Artajo, á D. Toma?Xavier Labastida ; y-para una ración de la cate</t>
  </si>
  <si>
    <t>Somalo, Francisco</t>
  </si>
  <si>
    <t>Francisco Somalo</t>
  </si>
  <si>
    <t>subtenientes de ejército á D. Josef Bianson, cadete del regimiento de infantería de Buenos-Ayres; á D. Francisco Somalo, Idem; á D. Ambrosio Agustini, idem: grados de alféreces de caballería y dragones á D. Pedro Nolasco Arenas, cándete del regimiento de dragones de Buenos-Ayres; á D. Ambrosio Reyn</t>
  </si>
  <si>
    <t>Sommers, Lord</t>
  </si>
  <si>
    <t>Lord Sommers</t>
  </si>
  <si>
    <t>ero todavía le quedan bailantes talentos, espíritu y energía para dar un fin glorioso á la guerra.” Lord Sommers apoyó el voto de Lord Jersey. Lord Hawkesbury hizo vatios rerparos contra los Ministros, y sobre la disolución del Parlamento, á que respondió Lord Grenvitle ; y finalmente, quedó</t>
  </si>
  <si>
    <t>Sorrondegui, Felipe</t>
  </si>
  <si>
    <t>Felipe Sorrondegui</t>
  </si>
  <si>
    <t>iente Coronel D. Juan Casquero, Capitán del de Alcántara} y en el de Santiago Ayudantía al Teniente D. Felipe Sorrondegui. En el Real Cuerpo de Artillería se ha dignado el Rey promover á Coronel al Teniente Coronel D. Francisco Fernandez ; á Teniente Coronel al Capitán D. Henrique Diez Canseco; y á C</t>
  </si>
  <si>
    <t>Soteló, Joaquín</t>
  </si>
  <si>
    <t>Joaquín Soteló</t>
  </si>
  <si>
    <t>lona. S. M. se ha servido nombrar para la plaza de fiscal togado del supremo consejo de la Guerra I D. Joaquín Soteló, oidor de la real audiencia dé Sevilla.</t>
  </si>
  <si>
    <t>Sotelo, Joaquín María</t>
  </si>
  <si>
    <t>Joaquín María Sotelo</t>
  </si>
  <si>
    <t>eal decreto siguiente: „Para la plaza de oidor de la audiencia de Sevilla, vacante por promoción de D. Joaquín María Sotelo á fiscal de mi supremo consejo de la Guerra, nombro al alcalde mas antiguo de la quadra de la misma audiencia D. Juan Fernando do Aguirre y Bengoa: para esta resulta al catedrátic</t>
  </si>
  <si>
    <t>Sóult, Mariscal</t>
  </si>
  <si>
    <t>Mariscal Sóult</t>
  </si>
  <si>
    <t>ado el Vís*1^3 Por Utrata. El General Lapisse ha entrado en Pleusk, arrojando de allí aFenémigo. El Mariscal Sóult hav pasado el Vístula por Vizogrod----_E1 Mariscal Bessieres ilegá ei 18 á Kioi, con el segundo cuerpo dé'reserva de cabaile»ría , cuya vanguardia ha entrado ya en Sipiez-. Ha hab</t>
  </si>
  <si>
    <t>Soult, Mariscal</t>
  </si>
  <si>
    <t>Mariscal Soult</t>
  </si>
  <si>
    <t>Corvo, y de los Mariscales Ney y Bessieres, marchando de, Biezun por el camino de Grodno. , .t _ El Mariscal Soult inmediato á Ciechanow. El Mariscal Augereau marchando hácia Golymin. f El Mariscal Davoust entre Golyiqin y,Pu!tusk. ; , El Mariscal Lannes en Pultusk. ( _ ,:j /■ ¿ . ; En estos d</t>
  </si>
  <si>
    <t>á Biezun. El Mariscal Príncipe de Ponte-Corvo marchó con su cuerpo de exército para sostenerle. El Mariscal Soult pasaba el Vístula en frente de Plock. El Mariscal Augereau lo pasaba en frente dé Zakroczim, donde sé estaba construyen* do, un puente á toda prisa. El del Narew se estaba haciend</t>
  </si>
  <si>
    <t>s jornadas de ventaja sobre su costado ; y á no haber sido por los malos caminos, que no dexáron al Mariscal Soult seguir este movimiento, el General ruso hubiera encontrado ya á los franceses en Ostrolenka. Solo resta ,saber quál puede ser el,objeto de semejante relación. El mismo sin duda qu</t>
  </si>
  <si>
    <t>Sousa, Rafael</t>
  </si>
  <si>
    <t>Rafael Sousa</t>
  </si>
  <si>
    <t>primero, á D. Narciso Caries al segundo. En la de lengua inglesa, del cargo de D. TomasKaorney , á D. Rafael Sousa.al primero, á D* Cárlos Guernica al segundo.__ Habiendo remitido al Excmo. Sr. Marques Caballero un estado de todo lo ocurrido en estos exámenes, formado por el Regente de estudio</t>
  </si>
  <si>
    <t>Spagne, General</t>
  </si>
  <si>
    <t>General Spagne</t>
  </si>
  <si>
    <t>, vienen de Italia para completar la nueva división que está formándose,aq|uii baxp las órdenes del General Spagne. (Gazeta de Fran~ BA VIERA. b «r. ‘ 'Jbigshurgó 'j2 'de Diciérhhfe. Con el objeto de poner el gobierno del Tirol en el mismo pie que lar demas provincias de esta Monarquía, ha man</t>
  </si>
  <si>
    <t>o á Custrin.__ En Berlin va entrando la división de coraceros nuevamente formada, baxo el mando del General Spagne..__ La división Italiana del General Lecchi se reunía en. Magdeburgo. _ El cuerpo del Gran Duque de Badén está en Stettin; de aquí á 15 dias podrá entrar en línea. El Príncipe her</t>
  </si>
  <si>
    <t>Spartal, Ramón Máximo</t>
  </si>
  <si>
    <t>Ramón Máximo Spartal</t>
  </si>
  <si>
    <t>a de Viages del capitán Lemuel Gulliver á diversos países rcm0 ,\. ¿ viases la edición francesa por D. Ramón Máximo Spartal. El nuevo t¡mon:0,(jci aprede Juan Gulliver, hijo de aquel, es una imitación y un buen vd*¡ñcPtas. ció que ha merecido la obra que se anuncia: 3 tomos en fi. con c q * Se hallará</t>
  </si>
  <si>
    <t>Speyert-van-der-Eyck</t>
  </si>
  <si>
    <t>ector ’M?. Ooster4yck entrega su empleo, con todas las ceremonias que se acostumbran en es casos, á Mr. Speyert-van-der-Eyck, nombrado rector para los doce meses siguientes por S. M. Mr. Oosterdyck prenunció un diícurso latino, en que deploró la pérdida que había experimentado la universidad por la muer</t>
  </si>
  <si>
    <t>Spezzapani, Carlos</t>
  </si>
  <si>
    <t>Carlos Spezzapani</t>
  </si>
  <si>
    <t>terario de monte Cassino se ha dado á D. Aurelio Visconti; el de la santísima Trinidad de la Cava á D. Carlos Spezzapani, y el de Monte Vergine á D. Raymundo Morales, todos tres sugetos de acreditada.instruccion. FRANCIA. Varis jo de julio. El i.° de este mes se recibió en Stuttgard la importante no</t>
  </si>
  <si>
    <t>Sputzheim</t>
  </si>
  <si>
    <t>chas en la ciudad y en'el palacio. S. A. R. le ha enviado un buen regalo, y otro á s.u discípulo el Dr. Sputzheim, y ha mandado que este-observador pase á visitar, con un Consejero , las cárceles, casas de reclusión y de locos de todo el pais de Badén, y que le proponga el modo de mejorar dic</t>
  </si>
  <si>
    <t>Stanhope, Lord</t>
  </si>
  <si>
    <t>Lord Stanhope</t>
  </si>
  <si>
    <t>tranquilidad de que goza actualmente aquel pais. Pero no obstante se aprobó el bilí. Sesión del 13. Lord Stanhope habló de los perjuicios que nos acarrearía la guerra con los Estados-Unidos de América. „Si se quisiera, dixo, consumar la ruina de nuestro comercio, excluido al presente de casi</t>
  </si>
  <si>
    <t>Sterling, Carlos</t>
  </si>
  <si>
    <t>Carlos Sterling</t>
  </si>
  <si>
    <t>rte. Dios guarde á VV. EE. muchos años. Buenos-Ayres 2 de Marzoáde 1807. = Santiago Liniers. =Sres. D. Carlos Sterling y D. Samuel Anchmuty.” , Respuesta dél alcalde de primer voto Z&gt;. Martin de Alzaga al mayor general Carr Beresford. ,,I4 adhesión que V. S. muéstrala este pueblo en su carta del ió de</t>
  </si>
  <si>
    <t>Stewart, Juan</t>
  </si>
  <si>
    <t>Juan Stewart</t>
  </si>
  <si>
    <t>stá provisto abundantemente de ellas, y corre poco el dinero en las Indias occidentales. El general Sir Juan Stewart llego á Cork á fines de setiembre para encargarse del mando de las fuerzas que se juntan en aquel puerto. Se aguardaba al almirante Drury, que debe escoltar la expedición; y todos</t>
  </si>
  <si>
    <t>Stirling, Almirante</t>
  </si>
  <si>
    <t>Almirante Stirling</t>
  </si>
  <si>
    <t>uista de aquella ciudad por los españoles, subian á unos 2® hombres; finalmente el 30 de agosto, el Almirante Stirling se había hecho á la vela con el navio Sansón y de 64 , el bergantín Staunchy y algunos transportes para el rio de la Plata. Pero á pesar de tantos esfuerzos no mejoran las noticia</t>
  </si>
  <si>
    <t>Stoffei, Agustín</t>
  </si>
  <si>
    <t>Agustín Stoffei</t>
  </si>
  <si>
    <t>al de fusileros D. Luis Kasly: en el de Reding, núm. 2.0, á teniente de granaderos al de fusileros D. Agustín Stoffei, y á teniente al subteniente de granaderos D. Tomas Metzger: en el de Preux á subteniente de granaderos al de fusileros D. Francisco Roh,y á subteniente de bandera afe ‘argento pr</t>
  </si>
  <si>
    <t>Stormer</t>
  </si>
  <si>
    <t>a, en especial después que el gobierno ha recibido pliegos de nuestro internuncio en Uoastantinopla Mr. Stormer; «¡a embargo, varían notablemente las cir</t>
  </si>
  <si>
    <t>Strachan, Ricardo</t>
  </si>
  <si>
    <t>Ricardo Strachan</t>
  </si>
  <si>
    <t>s francesas que hay entre (Ltrolenka y Bialystock. ' G R A N B R E T A Ñ A. / Londres 2 7 de abril. Sir Ricardo Strachan salid en dias pasados de Piymouth en el navio C¿</t>
  </si>
  <si>
    <t>Stratlon</t>
  </si>
  <si>
    <t>ió del rey Mr. Pierrepont, enviado de S. M. británica, y al dia siguiente presentó sus credenciales Mr. Stratlon, nuevo enviado de Inglaterra. Nuestro monarca parece que está resuelto á emplear todas las fuerzas del reyno en cumplimiento de los tratados con Inglaterra y con Rusia. Se han env</t>
  </si>
  <si>
    <t>Stratton</t>
  </si>
  <si>
    <t>, habiendo' concluido su comisión cerca del Rey de Suecia, y el segundo para Stralsund en lugar de Mr Stratton. Antes de ayer se sabia en Eiseneur que en el mar del norte se habían ido á pique machas, embarcaciones. Un navio de guerra ingles, y varios transportes , que tenían á bordo cabal</t>
  </si>
  <si>
    <t>Stsremhesg, Príncipe</t>
  </si>
  <si>
    <t>Príncipe Stsremhesg</t>
  </si>
  <si>
    <t>lo ingles en aquella ciudad. El cónsul que teníamos en ella, Mr. Varre, ha llegado ya á Londres. El Príncipe Stsremhesg, embaxador de Austria, e.*tá haciendo preparativos para restituí?se á su país; y aunque se dice que el viage no tiene mas motivo que el arreglo de sus intereses domésticos, que ex</t>
  </si>
  <si>
    <t>Stuart</t>
  </si>
  <si>
    <t>s de i 5 2/2 5 línéaíi dé núe¿tró.píe. &lt; Del obelisco de Sesostris ó del campo de Marte, medido por Mr. Stuart¿ Se infiere el pié roniaño de'130,57 líñ'éás deLdé qótfíhacen 15-1,99 Eneas.del nuestro. - ~ 1 Mr. Cassmi midió'varias distancias de1 üna's éiüáadés i otras; y cómpa(O De ponderib</t>
  </si>
  <si>
    <t>/ , . ‘ ^ Ayer hubo en la posada del duque de Portland un consejo de gabinete, que duró dos horas. Mr. Stuart, último encargado de negocios de Inglaterra en la corte de Rusia, habia llegado de Petersburgo la noche anterior^ La artillería gruesa de la legión alemana se embarcó en Plymouth</t>
  </si>
  <si>
    <t>Stuart, General</t>
  </si>
  <si>
    <t>General Stuart</t>
  </si>
  <si>
    <t>' : &gt;••• A .• /.• •• -.A EL mismo Ministro ¡propaso-en Ha Cámara de los Pares se diesen gracias al General Stuart, y á los oficiales y soldados que se hallaron en él combate de Maida; y así-se’Teáolvió "¿ninimé,mente. Igual propuesta y con MuahsucéáoíhizOíJMr. Windfaam eh la jCámarahde dc» Go</t>
  </si>
  <si>
    <t>va.de ia Vuelta dé Sir Sidney. Sniith á Inglaterra. Esté ■Almirante no ha pedido conformarse con el General Stuart ni con su sucesor, y vuelve á nuestros puertos á bordo del‘navio. Pigre. h\: S. l iood ha salido de Fortsmcuth el 20 de Diciembre con solo un navio y ¿os fragatasi :"■ , ALEMANIA.</t>
  </si>
  <si>
    <t>Sturges Bóúrne</t>
  </si>
  <si>
    <t>ron las instrucciones como comandante en gefe dé todas las fuerzas navales que habían de emplearse. Mr. Sturges Bóúrne, secretario entonces de la tesorería, presenció la conversación que tuve con Mr. Pitt, y atestiguará de todo. ,,En 29 de julio me despedí del ministro, con el qoal tuve otra larga</t>
  </si>
  <si>
    <t>Suárez de la Vega, Cayetano</t>
  </si>
  <si>
    <t>Cayetano Suárez de la Vega</t>
  </si>
  <si>
    <t>ociedad.quiso distinguir á ios primeros con 100rs. á cada uno, y lo fuéronD.SantiagoMendez de Vigoy Don Cayetano Suarez de la Vega-, y 50 rs. á cada: uno del 2.°y ’ 3.?rque son D. Lorenzo Suarez y D. Ignacio Ooliás. -_Escuela de leer y costura. A Ramona Ribero, Francisca Cabricano, María I guacia García, María</t>
  </si>
  <si>
    <t>Suárez y Núñez, Miguel Gerónimo</t>
  </si>
  <si>
    <t>Miguel Gerónimo Suárez y Núñez</t>
  </si>
  <si>
    <t>a de Ibañez , y en Cádiz á la de Pajares. Tratado legal teórico y práctico de letras de cambio, por D. Miguel Gerónimo Suarez y Nuñez, agente fiscal que fue de la real junta general de comercio f moneda &amp;c.: obra útil para comerciantes, priores y cónsules, y no menos para loa abogados: van insertas en todo lo su</t>
  </si>
  <si>
    <t>Suárez, Lorenzo</t>
  </si>
  <si>
    <t>Lorenzo Suárez</t>
  </si>
  <si>
    <t>antiagoMendez de Vigoy Don Cayetano Suarez de la Vega-, y 50 rs. á cada: uno del 2.°y ’ 3.?rque son D. Lorenzo Suarez y D. Ignacio Ooliás. -_Escuela de leer y costura. A Ramona Ribero, Francisca Cabricano, María I guacia García, María Teresa Cuesta, Agustina Suarez, Bárbara Perez Estrada, María Argue</t>
  </si>
  <si>
    <t>Suárez, Rafael</t>
  </si>
  <si>
    <t>Rafael Suárez</t>
  </si>
  <si>
    <t>D. Francisco Peyrolott y compañía. En Valladolid....... D.Francisco Durango. En Zamora............ D. Rafael Suarez. En Zaragoza......... D. Tomás de la Madrid. En Zeüia ............. D. Pedro Hugnet, comisionado subalterno del de Cádiz. En ia gazeta extraordinaria del 13 del corriente, ai fin</t>
  </si>
  <si>
    <t>Sres. D. Francisco Peyrolon y compañía. En Valladolid..... D. Francisco Durango. En Zamora...... . D. Rafael Suarez. En Zaragoza....... D. Tomas de la Madrid. En Zenta.............. D. Pedro Huguet, comisionado subalterno del de Cádiz. VENTA JUDICIAL. Quien quisiere hacer postura á tifca casa s</t>
  </si>
  <si>
    <t>Suárez, Santiago</t>
  </si>
  <si>
    <t>Santiago Suárez</t>
  </si>
  <si>
    <t>te en él al subteniente D. Raymundo de Silva, y subtenientes á los sargentos primeros de granaderos D. Santiago Suarez y D. Domingo Quijano. En el batallón de milicias disciplinadas de infantería de blancos de la ciudad de Valencia, en la provincia de Venezuela, ha nombrado S. M. sargento mayor vetera</t>
  </si>
  <si>
    <t>Suazo, Ramón</t>
  </si>
  <si>
    <t>Ramón Suazo</t>
  </si>
  <si>
    <t>s en aritmética D. Manuel Royo, D. Josef Mes, D. Bernardo Becerra, D.Josef Carrero, D. Ramón Eiroa, D. Ramón Suazo, D. Antonio Valentín Díaz, D. Josef Hordavidalnz, D. Lorenzo Cedrón, D. JuanPefundely D. Manuel Elizaicin. En geometría especulativa D. Josef Genaro Ghapley D;* Ildefonso Pozb, Do</t>
  </si>
  <si>
    <t>Subirats, Juan</t>
  </si>
  <si>
    <t>Juan Subirats</t>
  </si>
  <si>
    <t>s: para ios de capitanes de las compañías fixa-s de artilleros veteranos del departamento de Lima á D. Juan Subirats, capitán segundo de las mismas, y á D. Antonio Martínez, capit2n regnndo y ayudante mayor de las del departamento de Buenos-Ayres: para el de capiran de las compañías fixas de art</t>
  </si>
  <si>
    <t>Suchet, General</t>
  </si>
  <si>
    <t>General Suchet</t>
  </si>
  <si>
    <t>que he logrado rechazarle en todos les puntos de su ataque. Ei primero y principal, mandado por el General Suchet, coa. 15® hombres,, se dirigía hácia mi derecha contra la obra avanzada de Gurka, con el fin de tomar la ciudad : yo no podía oponerle mas que 5® hombres á lás órdenes &lt;íel Genera</t>
  </si>
  <si>
    <t>Suchtelen</t>
  </si>
  <si>
    <t>ido enteramente de Moldavia, y se disponen á hacer lo mismo de Valaquia. El qnartel-maestre general Mr. Suchtelen ha ido de BuchareU á Ja ^y para acelerar ta partida de las tropas que manda el Príncipe Prosorowski. El general Sergio Lascarof permanece todavía en Rudschuck.</t>
  </si>
  <si>
    <t>Suzzo, Príncipe</t>
  </si>
  <si>
    <t>Príncipe Suzzo</t>
  </si>
  <si>
    <t>para Malta. La Puerta, ha depuesto nuevamente al Príncipe Ipsilanti,, y ha nombrado en su lugar al Príncipe Suzzo. , El Marques Luchesini,. Ministro de Prusia,, llego aquí el dia 17. Desde. luego se creyó que vendría con alguna comisión del Rey su amo; pero después se ha sabida que se-retira</t>
  </si>
  <si>
    <t>ían detenido en esta última, de que sé habia apoderado su vanguardia, que consta de 15® hombres. El Príncipe Suzzo há sido hombrado Hospodar de Valaquia, y declarado traydor el Príncipe Ipsilanti, y pregonada su cabeza. El correp tártaro encontró al Embaxador pers’a á la mitad del camino que v</t>
  </si>
  <si>
    <t>lo cierto es que han sido muertos el agá de ios genízaros, algunos soldados de los Dardanelos, y el Príncipe Suzzo, intérprete de la Puerta. Se dice también que los genízaros se habían sublevado pam sacar de la cárcel á varios compañeros suyos que estaban preses p. r haber co-? -metido delitos</t>
  </si>
  <si>
    <t>á Muhib-eífendi, embaxador de la Paerta en la corte de Francia. El Príncipe Janko-Karadia sucede al Príncipe Suzzo en la dignidad de primer intérprete de la sublime Puerta. Las cartas de Trieste dicen que han llegado á Malta las reliquias del exército ingles de Egipto; y añaden que lo que obligó</t>
  </si>
  <si>
    <t>Swartwout</t>
  </si>
  <si>
    <t>goletas Nimrod y Lava.ter, procedentes de la Nueva-Orleans. En la primera se hallaba como pasagero Mr. Swartwout, escoltado por los tenientes Wüson y Mead, quienes inmediatamente se pusieron en camino con él para Washington. El magistrado de la Nueva-Orleans ha publicado un bando, prometiend</t>
  </si>
  <si>
    <t>Swertzbourg Sondershausen, Príncipe</t>
  </si>
  <si>
    <t>Príncipe Swertzbourg Sondershausen</t>
  </si>
  <si>
    <t>con su augusto esposo, en favor de su padre el Elector de Hesse.__ También se hallan en Maguncia el Príncipe Swertzbourg Sondershausen, y la Princesa de Hohenlohe. Hace algunos dias que llegó á Maguncia un transporte de éo caxones llenos de efectos preciosos del pais de Hesse: los 45 dicen que contienen el tesoro</t>
  </si>
  <si>
    <t>Sydmourh, Lord</t>
  </si>
  <si>
    <t>Lord Sydmourh</t>
  </si>
  <si>
    <t>amente. Acordémonos de la rapidez con que se aumentó el exército en los ministerios precedentes. El Lord Sydmourh añadió 40® hombres, y Mr. Pitt 33®. No puede haber mejor prueba de la insuticiencia de los planes del auevo ministerio;y por lo tanto es menester volver á examinarlos.” Mr. Windha</t>
  </si>
  <si>
    <t>Taboada, Jacinto Nicolás</t>
  </si>
  <si>
    <t>Jacinto Nicolás Taboada</t>
  </si>
  <si>
    <t>. Francisco Soiís y Lein, i D. Francisco Ordoñez, canónigo de la misma iglesia: para esta resulta á D. Jacinto Nicolás Taboada: para .la canongía cardenalicia de la misma catedral de Orense, vacante por muerte de dicho D. Francisco Solís y Lein, ¿ D. Antonio Valencia Morales: para otra canongía de la cate</t>
  </si>
  <si>
    <t>Tafalla, Juan</t>
  </si>
  <si>
    <t>Juan Tafalla</t>
  </si>
  <si>
    <t>s de chichona ó de quinos de ios montes de Loxa, que han remitido al Rey nuestro señor los viageros D. Juan Tafalla y su alumno D. Juan Manzanilla en el último correo para aumentar la Flora del Peni, y para complemento de la quinolr gia ó tratado de ios quinos. Dichos diseños agregados á los de l</t>
  </si>
  <si>
    <t>con fecha del 29 de enero próximo pasado han remitido los naturalistas Don Juan Tafalla y D. Juan Manzanilla para aumento de la Flora Peruviana y de la Quinologia. Unidos dichos 11 diseños á los de las 28 especies, que se anunciaron en ia gazeta de 23 de junio inmediato,</t>
  </si>
  <si>
    <t>Talavera, Alonso</t>
  </si>
  <si>
    <t>Alonso Talavera</t>
  </si>
  <si>
    <t>Licenc. 496 ... 2. Alonso Talavera ..... del mismo.... Carcheh:jo ..................... 1.795" Licenc. 67+ .. 1 7 .• Cabo 1.° Alonso Lopez ......... de Pedro ...... MuJa ............................ 1</t>
  </si>
  <si>
    <t>Tama, Ramón</t>
  </si>
  <si>
    <t>Ramón Tama</t>
  </si>
  <si>
    <t>de Claros, calle del Arenal. Cartas del conde Algarotti sobre la Rusia, traducidas del francés por D. Ramón Tama yo., teniente de fragata de la armada: contienen el estado del comercio, de la marina y fuerzas de este imperio, la guerra contra los turcos, y algunas observaciones sobre el mar Bá</t>
  </si>
  <si>
    <t>Tamm</t>
  </si>
  <si>
    <t>nahuone leyó otra sobre la grafogalía, ó manera de pintar con leche. FRANCIA. ' París 9 de octubre. Mr. Tamm, hacendado de Paulhacp departamento del Carona superior, ha dado á la iglesia dé su pueblo un estandarte de damasco catmesí borda* do de oro, con la imágen de S. Napoleón, y á sus</t>
  </si>
  <si>
    <t>Tarayre</t>
  </si>
  <si>
    <t>. M. ha nombrado Mariscales deHjlanda á los Almirantes Verhuelí y Dewinter; y Coroneles generales a Mr. Tarayre, Coronel general de la Guardia, ai Almirante Hasting, Coro'ei general de Granaderos Reales de Marina, y al General Daendels, Coronel general de la Caballería. Por el mismo decreto</t>
  </si>
  <si>
    <t>Target</t>
  </si>
  <si>
    <t>junta pública para dar posesión al Emo. Sr. Cardenal Maury de la plaza vacante por fallecimiento de Mr. Target. El discurso de S. Erna, y la respuesta de Mr. Sicard, que hacia de presidente, se llevaron toda la sesión , que habia excitado el mayor interes y atraído un concurso extraordinar</t>
  </si>
  <si>
    <t>Tarrago y Riqueime, Francisco</t>
  </si>
  <si>
    <t>Francisco Tarrago y Riqueime</t>
  </si>
  <si>
    <t>cutará por la escribanía de la comisión, que desempeña ÍX Manuel María Valverde. Por providencia de D. Francisco Tarrago y Riqueime, comisionado regio para la venta de bienes eclesiásticos en la diócesi de Guadix y Baza, se ha señalado el dia 27 del presente para el remate de una huerta de cabida 16 fanegas de</t>
  </si>
  <si>
    <t>Tarrago y Riquelme, Francisco</t>
  </si>
  <si>
    <t>Francisco Tarrago y Riquelme</t>
  </si>
  <si>
    <t>5°4 Por providencia de D. Francisco Tarrago y Riquelme, juez comisionado real para la venta de bienes eclesiásticos en la diócesi de Guadix, se ha señalado el dia 25 del presente para el remate de las fincas siguientes: 20 (anegas de</t>
  </si>
  <si>
    <t>Tárrega, Juan Bautista</t>
  </si>
  <si>
    <t>Juan Bautista Tárrega</t>
  </si>
  <si>
    <t>edral de Toledo D. Daniel Traveria, á Don Fermín Latre, sorchantre de la catedral de Barbastro, y á D. Juan Bautista Tárrega, tenor de la de Tarazona. El rey se ha servido nombrar coronel del regimiento de infantería fixo de Ceuta á D. Josef María Carvajal, teniente coronel del del Príncipe: capitán pri</t>
  </si>
  <si>
    <t>Tarrius, Juan</t>
  </si>
  <si>
    <t>Juan Tarrius</t>
  </si>
  <si>
    <t>En el batallón de infantería de Canarias ha promovido S. M. á capitán de granaderos al de fusileros D. Juan Tarrius: á capitanes de fusileros al agregado P. Francisco Urtusaustegei, al primer teniente D. Santiago Madan , y al primer ayudante D. Félix Uriundo: á primer teniente de granaderos ai</t>
  </si>
  <si>
    <t>Tarsis, Pablo Antonio</t>
  </si>
  <si>
    <t>Pablo Antonio Tarsis</t>
  </si>
  <si>
    <t>Manuel María de Junco se ha mandado* sacar á pública subasta una casa que pertenece al concurso de D. Pablo Antonio Tarsis, en el real sitio de Aranjuez, conocida por la de los Faetones, tasada en 132,624 rs. 25 mrs., y 6238 por los enseres útiles que se custodian en la misma. Tos postores acudirán á</t>
  </si>
  <si>
    <t>Tassln</t>
  </si>
  <si>
    <t>que el gran Señor ha nombrado príncipe de Servia al famoso Cerni-Jorge. FRANCIA. Parts jj de abril. Mr. Tassln, individuo de la sociedad de agricultura de la ciudad de Mont-de-Marsan, presentó el 27 de diciembre á dicho cuerpo un proyecto para establecer una compañía dé seguros contra pied</t>
  </si>
  <si>
    <t>Tavira, Antonio</t>
  </si>
  <si>
    <t>Antonio Tavira</t>
  </si>
  <si>
    <t>ha servido nombrar para ía iglesia y obispado de Salamanca, vacante por fallecimiento del limo. Sr. D. Antonio Tavira, ai R. P. Fr. Gerardo Vázquez, general del orden de S. Bernardo*, para una canongía de la catedral de Patencia, vacante por muerte de D. Francisco Xavier Valcarcel, á D. Francisco</t>
  </si>
  <si>
    <t>Tawragóry Riquelme, Francisco</t>
  </si>
  <si>
    <t>Francisco Tawragóry Riquelme</t>
  </si>
  <si>
    <t>stura, lo executará por la escribanía del cargo de D. Antonio Moreno y Ace vedo. Por providencia de D. Francisco Tawragóry Riquelme, juez comisionado regio del obispado de Guadix y Baza, se subastan varias fincas de obras pias, servideras por el monasterio de S. Gerónimo de la última, que son las siguientes: u</t>
  </si>
  <si>
    <t>Taylor</t>
  </si>
  <si>
    <t>Trinidad, en 2 f días, y dice que 3 dias antes de su salida habia: llegado á aquella isla un cierto Mr. Taylor (que fue en' la expedición de MirandaJ'con la noticia de su total y completa derrota en un desén*barco que hi'zó en Caracas. Añade que las tropas reclutadas pot Mirarfda en la’Tri</t>
  </si>
  <si>
    <t>rante Gambier: dicen que el lord Cathcart se incorporó con el almirante el 12 del pasado; que el 13 Mr. Taylor, ministro de S. M. en la corte de Copenhague, salió de ella con motivo de haberse negado el gobierno dinamarqués á toda composición amistosa; que á comeqiiencía quedó resuelto el</t>
  </si>
  <si>
    <t>Tcrradellas, Francisco</t>
  </si>
  <si>
    <t>Francisco Tcrradellas</t>
  </si>
  <si>
    <t>de agesto último, participa al Serenísimo Señor Príncipe Generalísimo Almirante, corno el Brigadier D. Francisco Tcrradellas, que con su batallón ligero i.° de Cataluña, y el regimiento de dragones de Vi</t>
  </si>
  <si>
    <t>Telesforo Barrio</t>
  </si>
  <si>
    <t>D. Mateo Seoane: 2.0 á D. Francisco Amo. En la de geografía el i.° ai mismo D. Mateo Seoane; 2.0 á D. Telesforo Barrio: 3.0 á D. Mateo Llanos. El exercicio que al tiempo del ex&amp;men hizo este niño (que aun no ha salido de la escuela de primeras letra?) excediólas esperanzas que los examinadores deb</t>
  </si>
  <si>
    <t>Temas Francisco Casarías</t>
  </si>
  <si>
    <t>5o1 goez Xaramillo: para la canongía de este á D. Temas Francisco Casarías; y para la ración al medio racionero D. Vicente de Arcega; y para otra media ración de la mi&lt;ma iglesia, vacante por ascenso de D. Jcsef de Vergara, á D* Camilo Pividal, presbíter</t>
  </si>
  <si>
    <t>Temple y Lord Howick, Lord</t>
  </si>
  <si>
    <t>Lord Temple y Lord Howick</t>
  </si>
  <si>
    <t>qualquier vocal era dueño de examinarlos. Mr, Sturgtss Bourne y Mr. Perceval apoyaron la propuesta: Lord Temple y Lord Howick la refutaron; y al cabo de algunos debates la recogió Mr, Johnstone, por la consideración de .que la impresión que se pedia en ella era gravosa al erario, .r: Los fondos que se solic</t>
  </si>
  <si>
    <t>Tenorio, Juan María</t>
  </si>
  <si>
    <t>Juan María Tenorio</t>
  </si>
  <si>
    <t>s dos primeros se les premió con igual número de exemplares del poema de los jardines de Delille, á D. Juan María Tenorio con las obras de Tompson, y á D. Juan Arias con las fábulas de la Fontaine , y ademas á cada uno de los 4 una medalla de plata. D. Ramón de Aguilar recibió en premio los comentari</t>
  </si>
  <si>
    <t>Tenorio, Rafael</t>
  </si>
  <si>
    <t>Rafael Tenorio</t>
  </si>
  <si>
    <t>maestros D. Agustín de Campos, el P. colegial Fr. Ciríaco Clavero, .del orden calzado déla Merced, D. Rafael Tenorio y ¡Herrera, D. Francisco de las Casas VD. Tomas Salazar, Don Mariano..Fernandez^. D. Manuel Flor an.es y D. Josef González dei Valle fueron exáminados.de aritmética, álgebra, geomet</t>
  </si>
  <si>
    <t>Tenreyro, Juan Nepomuceno</t>
  </si>
  <si>
    <t>Juan Nepomuceno Tenreyro</t>
  </si>
  <si>
    <t>agregado D. Ignacio María de Lara,yá los subtenientes D. Juan Nepomuceno Acevedo, de granaderos, y D. Juan Nepomuceno Tenreyro, y ai subteniente de granaderos del batallón de milicias disciplinadas de Campeche D. Juan Esteban Arfian; á subteniente de granaderos al de fusileros agregado D. Joaquín de Ribas</t>
  </si>
  <si>
    <t>Teodoro de Almeyda</t>
  </si>
  <si>
    <t>rentes obsequios ofrecidos á la misma Señora considerada en sus dolores y angustias, su autor el P. D. Teodoro de Almeyda.z= Tesoro de protección en la Santísima Virgen, ó estímulos de amor y devoción á la Madre de Dios, del mismo autor. Se hallarán en la librería de Moreno, calle de la Gorguera, y d</t>
  </si>
  <si>
    <t>ría de Jordi, y ea Valencia en íá de Minguet. Recreación filosófica, escrita en portugués por el P. D. Teodoro de Almeyda, ^traducida aUasteliano: 3.a edición. Esta obra es á propósito para que sin el auxilióle Ja voz viva, ni de la asistencia á Jás aulas, pueda la juventud de uno y otro sexo léér en</t>
  </si>
  <si>
    <t>Teodoro Guevara</t>
  </si>
  <si>
    <t>isco Costales y D. Francisco Losada; á alféreces á los sargentos primeros D. Maximiliano Martinez , D. Teodoro Guevara , y al soldado ommguido D. Manuel Nieto; y á Portaguiones á D. Josef Ramón Barrera, D. Pablo Costales, D. Juaif de Mata Soberrón y D. Manuél Osores, los quatro últimos soldados di</t>
  </si>
  <si>
    <t>Teodoro Ladico, Jorge</t>
  </si>
  <si>
    <t>Jorge Teodoro Ladico</t>
  </si>
  <si>
    <t>a’ caSa de los señores de Arabet, Gaütier, Manning y compañía, de Barcelona, remitió á dirección de D. Jorge Teodoro Ladico,' de la isla de Mahon, con el capitán Pedro Taltavull, que lo era del correo nombrado S. Antonio dePadua, siete vales de igb peSos,núms. 197305,197924 , 205500, 205888, 296551, 21</t>
  </si>
  <si>
    <t>lastrcs en 20 de junio á favor de dichos de Arabet Gauticr, Manning y compañía, y por estos á dicho D. Jorge Teodoro Ladico; y habiendo sido apresado dicho correo en 27 de junio por la fragata de S. i\í. británica, nombrada Sirius, y apoderádose su capitán de dichos vales reales, se da este aviso al pú</t>
  </si>
  <si>
    <t>Teran Quevedo, Alonso</t>
  </si>
  <si>
    <t>Alonso Teran Quevedo</t>
  </si>
  <si>
    <t>Josef de Arteaga. £1 Rey se ha servido conferir el regimiento de caballería del Príncipe al coronel D. Alonso Teran Quevedo, teniente coronel del de Mon¿ tesa; y en el de Calatrava empleo de alférez al portaestandarte D. Antonio Laso de la Vega. En Amírica. En el batallón de milicias disciplinadas de M</t>
  </si>
  <si>
    <t>Teran, Antonio</t>
  </si>
  <si>
    <t>Antonio Teran</t>
  </si>
  <si>
    <t>a 14 del presente para el remate de las dos primeras, y el 18 del mismo para el de la 3.a AVISOS. A D. Antonio Teran, capitán del regimiento infantería de León, desde la ciudad de Santiago á la de la Coruña se le han extraviado dos vales reales de 300 pesos, de i.° de setiembre, núms. 17076 y 17</t>
  </si>
  <si>
    <t>Tercero Gaseo, Joaquín</t>
  </si>
  <si>
    <t>Joaquín Tercero Gaseo</t>
  </si>
  <si>
    <t>re hacer postura, comparecerá por la escribanía que exerce D. Claudio Constanzo. Por providencia de D. Joaquín Tercero Gaseo, subdelegado para la venta de bienes eclesiásticos en la villa de Olmedo, diócesi de Valladolid, se ha señalado el dia 18 del presente para el remate de Jipa heredad de tierras, d</t>
  </si>
  <si>
    <t>Teresa Montalbo de O-FarriU, María</t>
  </si>
  <si>
    <t>María Teresa Montalbo de O-FarriU</t>
  </si>
  <si>
    <t>sa de Santa Cruz de Mopox. Asimismo en consideración á la antigua nobleza y lustre de la familia de Doña María Teresa Montalbo de O-FarriU, condesa viuda de Santa Cruz de Mopox y de S. Juan de Jaruco, se ha dignado S. M. declararle el goce personal de los honores de la grandeza de España concedida á su hijo rimogénit</t>
  </si>
  <si>
    <t>Terren, Juan Antonio</t>
  </si>
  <si>
    <t>Juan Antonio Terren</t>
  </si>
  <si>
    <t>a elección de empleos para el corriente año, quedando elegidos á pluralidad de votos, para director D. Juan Antonio Terren, presbítero; consiliarios eclesiásticos el Dr. D. Pascual Fita, inquisidor honorario de Córdoba, el Dr. Fr. D. Joaquín Centelles, de la orden de San Juan, y D. Andrés Cosme: consi</t>
  </si>
  <si>
    <t>Terreros, Ramón</t>
  </si>
  <si>
    <t>Ramón Terreros</t>
  </si>
  <si>
    <t>ones de Mechoacan, en el reyno de Nueva España, se ha servido el Rby promover á teniente al alférez D. Ramón Terreros; á alférez al portaguión D. Mannel de la Torre , y á portaguión á D. Esteban Villanueva, vecino de la demarcación del regimiento. En cumplimiento de lo mandado por S. M. en real p</t>
  </si>
  <si>
    <t>Terrier</t>
  </si>
  <si>
    <t>es quien hizo la entrega de aquella isla y de todas las demas del mar Jónico en 11 del corriente á Mr. Terrier, comandante de batallón. Las tropas francesas del 'mando del general Cesar Berthier entraron el 19. Esta operación se ha hecho á pesar del crucero ingles establecido en la punta d</t>
  </si>
  <si>
    <t>Teruel, Diego Andrés</t>
  </si>
  <si>
    <t>Diego Andrés Teruel</t>
  </si>
  <si>
    <t>s de la señora reyna viuda de etruria, cumplimentaron á SS. MM. yAA. El Rby se ha servido nombrar á D. Diego Andrés Teruel, racionero de la catedral de Lérida, para el deanato de la colegiata de Alcañiz, en la diócesi de Zaragoza, vacante por promoción de D. Joaquín Regales á canongía de la referida i</t>
  </si>
  <si>
    <t>, y auxiliar de aquella diócesi: para una ración de la catedral de Lérida, vacante por promoción de D. Diego Andrés Teruel al deanato de la colegiata de Alcañiz, diócesi de Zaragoza, á D. Ramón Sánchez Royo: para un beneficio rural de nuestra Señora, unido con el de S. Salvador fundado en la parroquia</t>
  </si>
  <si>
    <t>Teruel, Gaspar</t>
  </si>
  <si>
    <t>Gaspar Teruel</t>
  </si>
  <si>
    <t>a, y el S*\ D. Mariano de Exea: secretario i.° D. Luis Valcedo, i.° D. Antonio Guijarro: procurador D. Gaspar Teruel: contadores el Sr. barón de Manuel y D. Jayme Manent: tesorero D. Pedro Bergeyre : celadores ecle« siásticos de ios exercicios espirituales el Dr. Fr. D. Tomas Benito Nadal, del o</t>
  </si>
  <si>
    <t>Testa, Domingo</t>
  </si>
  <si>
    <t>Domingo Testa</t>
  </si>
  <si>
    <t>o, leída, en junta extraordinaria de la academia de religión católica el día 5 de julio de 1802 por D. Domingo Testa, secretario de cartas latinas de S. S., y canónigo de la basílica de Santa María la mayor, traducida del italiano ai castellano por D. Luis Testa, presbítero, secretario de la leg</t>
  </si>
  <si>
    <t>Testa, Luis</t>
  </si>
  <si>
    <t>Luis Testa</t>
  </si>
  <si>
    <t>S. S., y canónigo de la basílica de Santa María la mayor, traducida del italiano ai castellano por D. Luis Testa, presbítero, secretario de la legación de Roma. Esta obra, escrita con la mayor erudición, solidez y crítica, cuyo fin es defender al sagrado historiador Moysés contra la turba de</t>
  </si>
  <si>
    <t>Texedor, Francisco</t>
  </si>
  <si>
    <t>Francisco Texedor</t>
  </si>
  <si>
    <t>á D. Antonio Culebras, de Yoro á D. Juan Dengo, de Sonsonate á D. Gregorio Royo, de Nueva-Segovia á D. Francisco Texedor, todos sargentos primeros veteranos de los mismos cuerpos. S. M. se ha servido conferir el gobierno militar y político de la isla de la Margarita, vacante por fallecimiento de D.</t>
  </si>
  <si>
    <t>Texedor, Vicente</t>
  </si>
  <si>
    <t>Vicente Texedor</t>
  </si>
  <si>
    <t>Fxtrav. '44 ..· T. Vicente Texcdor..... de "ieente.... Va~encia ...................... 1794" Muert. 85 .•. 10. Vicente Bartu,ll ....... de Ba1tasar.... ·V.lcncia....~ .........</t>
  </si>
  <si>
    <t>Texer, Ignacio</t>
  </si>
  <si>
    <t>Ignacio Texer</t>
  </si>
  <si>
    <t>Ibañez; y las subtenencias que estos dexan á los sargentos primeros veteranos D. Antonio Aglie/ía y D. Ignacio Texer. El dia i.a de octubre próximo se abrirá el curso de estudios en el real colegio de Farmacia de esta corte, á cuyas lecciones tiene resuelto S. M., por real orden de y de marzo de</t>
  </si>
  <si>
    <t>Thienen</t>
  </si>
  <si>
    <t>a , Laland, Falster y Móeh : su vanguardia está en Roschild, á las órdenes del mayor general Ewald. Mr. Thienen, sargento mayor de dragones, está organizando un regimiento de caballería ligera de 8 esquadrónes, que tendrá el nombre de ¿tragones de Zelandia, y el teniente coronel Rantzau un</t>
  </si>
  <si>
    <t>Thilorier</t>
  </si>
  <si>
    <t>, y á costa del gobierno, se ha hecho en Lion una experiencia en grande de la máquina inventada por Mr. Thilorier, para que Los barcos naveguen rio arriba sin otro móvil que la corriente. El 22 de setiembre un barco, cargado de piedra , subió con la máquina 1600 metros en 50 minutos, y hubier</t>
  </si>
  <si>
    <t>Thornton</t>
  </si>
  <si>
    <t>S. A. R. dio 50 guineas de ayuda de costa para !a obra, el lord corregíSof otras tantas, y Mr. Thornton 40. Los fondos públicos, que habían baxado considerablemente de resultas de las últimas noticias, han vuelto á subir estos dias ; lo que se atribuye á Ja voz que ha corrido de hab</t>
  </si>
  <si>
    <t>Tiburcio del Calvo y Cosío</t>
  </si>
  <si>
    <t>nez Orihuela. En el de caballería también disciplinada de Arequipa á portaestandartes á los cadetes D. Tiburcio del Calvo y Cosío, Don Mariano Eduardo O-Phelan, D. Juan Mariano Goyeaeche y D. Estanis—</t>
  </si>
  <si>
    <t>Tiburcio Pardo</t>
  </si>
  <si>
    <t>xército y provincia de Extremadura» por el juzgado del Líe. D. Josef Portes y Puig, y escribanía de Don Tiburcio Pardo, se subasta por arriendo la Encomienda de la villa de Almendrado, incorporada á la Corona, y que en la actualidad se administra por la Comisión gubernativa de Consolidación de val</t>
  </si>
  <si>
    <t>Tilíy, General</t>
  </si>
  <si>
    <t>General Tilíy</t>
  </si>
  <si>
    <t>orn con el segundo cuerpo de resepde caballería 1 compuesta de la división de caballería ligera del General Tilíy, de los dragones de los Generales Gruchy y Sahuc, y de los coraceros del General Hautpoult. Los Plenipotenciarios Prusianos Lucchesini y Zastrow, pasaren el 10 por Thorn para Koni</t>
  </si>
  <si>
    <t>Timoteo Higueras</t>
  </si>
  <si>
    <t>o "aprobadas por' la junta, se sirvió esta adjudicar él primer premio, ó preferente, de 5 5 pesos á D. Timoteo Higueras, aunque se hallaba con igual censura y mérito B. Eustasio Lopéz, que llevó este mismo premio el año anterior: el segundo y tercero de la propia cantidad, á D, Eernanio Plaza y D.</t>
  </si>
  <si>
    <t>Toíquato</t>
  </si>
  <si>
    <t>justicia, parándoles el mismo perjuicio que si concurriesen personalmente. Por providencia del Sr. D. Toíquato. Antonio Collado , teniente corregidor de esta villa, está mandado citar, llamar yemplazar á los parientes mas cercanos de D. Francisco de Soro y Marzana paraque en el término de</t>
  </si>
  <si>
    <t>Toledo, Joaquín</t>
  </si>
  <si>
    <t>Joaquín Toledo</t>
  </si>
  <si>
    <t>ido la Sala, y D. Josef Posadas, los Alféreces de Navio D. Benito Correa, D. Manuel de la Iglesia , D. Joaquín Toledo y D. Josef Miranda, y el de Fragata D. Federico la Cosle noche fué malísima. La tropa la pasd sobre las armas, sin que sé óptase la menor queja.f Al día Siguiente 5 del «órnente me di</t>
  </si>
  <si>
    <t>cia de que una bala, que naturalmente debió dar en un clavo, de rechazo hiriese al Alférez de Navio D. Joaquin Toledo en la ca*? beza; suceso que me afligió tanto mas que lo vi cubierto de sangre, y que jrecaia en un Oficial.de mi mas distinguida confianza; pero examinando la hedida:i se halló de p</t>
  </si>
  <si>
    <t>Tolstoy, General</t>
  </si>
  <si>
    <t>General Tolstoy</t>
  </si>
  <si>
    <t>ado el Príncipe de Mecklemburgo concedió paso por su territorio á las tropas Rusas» mandadas por el General Tolstoy. _Los habitantes de Polonia se admiran de la estación, pues no ha helado todavía. Todos los dias se descubre el sol,vy hace un tiempo de otoño. El Emperador sale esta noche para V</t>
  </si>
  <si>
    <t>Toma</t>
  </si>
  <si>
    <t>o de la parroquia de S. Miguel de la vijla de Cardona, diócesi de Solsona, vacante por promoción de D. Toma» Ribo á la dignidad de chantre de la catedral de Solsona: á D. Juan Ignacio Pablo Puig para una de las seis capellanías menores del real palacio de la ciudad de Palma, rey no de M</t>
  </si>
  <si>
    <t>orales: para otra canongía de la catedral de Tudela, vacante por fallecimiento de D. Juan Artajo, á D. Toma?Xavier Labastida ; y-para una ración de la catedral da Almería, vacante por muerte de D; Manuel Gómez Moya, á D. Benito Perez de Hinojosa. El Reí se ha servido conceder en el regi</t>
  </si>
  <si>
    <t>Tomá</t>
  </si>
  <si>
    <t>ENTAS; JUDICIALES. P6r la corimiori real de.íá &lt;3lócesi efe Sevilla, y en .virtud de providencia de D. Tomá| Pérez “de Junguitú*, 'juez comisionado regió, eñ ella, se ha señalado el diá 15 deí presente pata el remate de una hufcrta de arboleda frutal y tierra cal</t>
  </si>
  <si>
    <t>Toma- Blanco Cabrera</t>
  </si>
  <si>
    <t>inserta en ta Gazeta extraordinaria núm.. 6 de 16 del co-&gt;iente,anunciamos que éi Teniente de Navio D. Toma- Blanco Cabrera, Oficial de órdenes del apo; ta lero de marina del. Rio de la Plata , y despachado por aquel Comandante de Márína, Gf&gt; bernador de Montevüeo , á traer la noticia de la aeconqui ta</t>
  </si>
  <si>
    <t>Tomás-de Archeverroa</t>
  </si>
  <si>
    <t>eresados por sí, ó por personas suficientemente autorizadas, acudan á D. Miguel.Tomas-de Archeverroa, vecino y del comercio de Cádiz, nombrado comisionado por la- junta de cargadores para eí arreglo de averías y cuentas, á percibir dichas partidas en los términos qhe se ha acordado y dis</t>
  </si>
  <si>
    <t>TomasKaorney</t>
  </si>
  <si>
    <t>. Agustín Alvarez al primero, á D. Narciso Caries al segundo. En la de lengua inglesa, del cargo de D. TomasKaorney , á D. Rafael Sousa.al primero, á D* Cárlos Guernica al segundo.__ Habiendo remitido al Excmo. Sr. Marques Caballero un estado de todo lo ocurrido en estos exámenes, formado por e</t>
  </si>
  <si>
    <t>Topez, Juan</t>
  </si>
  <si>
    <t>Juan Topez</t>
  </si>
  <si>
    <t>lchor Ñicolas Truxillo, Se formaron ¡¿útos en 5' de Éebrero’de I790 cómo concurso. d„e acreedores á D. Juan Topez^Cabai!ero , .en los quales recavó sen-1 tencia definitiva de graduación én 28' dé Eneró'próximo pisado,'mandando que los pagos que en fuerza de ella se han de hacer sean baxo fian</t>
  </si>
  <si>
    <t>Torbellino Polvareda</t>
  </si>
  <si>
    <t>glota erudición que valen mas que el texto: por el Dr. Akeríio Rapsodia , y dedicado á su peluquero D. Torbellino Polvareda. Esta obrita contiene pinturas satíricas de las modas antiguas y modernas, y noticias muy curiosas de antigüedades, siendo sus principales artículos ei de les peynados, la calva,</t>
  </si>
  <si>
    <t>Toribio del Mazo y Villaean</t>
  </si>
  <si>
    <t>e fusileros al agregado en la misma clase D. Josef María Palomares. El Rey se ha servido conferir á D. Toribio del Mazo y Villaean, capitán graduado de exército, y teniente del batallón veterano de Milicias disciplinadas de Mérida de Yucatán, la subdelegacion del partido de Tehuantepeque en la intendencia de</t>
  </si>
  <si>
    <t>Toribio González</t>
  </si>
  <si>
    <t>osef Manuel Samartin , ambos medios racioneros de aquella catedral: para la primera media- ración á D. Toribio González ; y para la segunda á D, Manuel Escoto y González, curas en la referida diócesi; y para una media ración, vacante en la metropolitana de Cuba por fallecimiento de D. Joan Antonio</t>
  </si>
  <si>
    <t>Toribio Ugarte, Francisco</t>
  </si>
  <si>
    <t>Francisco Toribio Ugarte</t>
  </si>
  <si>
    <t>xecutará por la escribanía de la comisión, que desempeña D. Josef Ayala y Gómez. Por providencia de D. Francisco Toribio Ugarte, juez comisionado regio para la venta de bienes eclesiásticos en la diócesi de Valencia, se ha mandado sacar á pública subasta, por término de 30 dias, una casa, con su oratorio,</t>
  </si>
  <si>
    <t>Toribio, Francisco</t>
  </si>
  <si>
    <t>Francisco Toribio</t>
  </si>
  <si>
    <t>ibanía de la misma comisión, que desempeña D. Josef Leandro de la Torre y Retes, Por providencia de D. Francisco Toribio ligarte, juez comisionado regio par* la venta de bienes eclesiásticos en la diócesi de Valencia, se ha mandado sacar á pública subasta, por término de 30 dias, una casa alquería,</t>
  </si>
  <si>
    <t>Tornas Diez Porrua</t>
  </si>
  <si>
    <t>Antonio de Urraza. AVISOS. En 16 del pasado remitió D. Josef Cevallos, por el correo de Santiago, á Don Tornas Diez Porrua, vecino de Camarinas, dos vales reales de r 50 pesos, 'creados de i.° de enero, núms. 331334 y 33290.8 , endosados á favor de D. Juan da Veyga y Andrade. Quien supiere de su parad</t>
  </si>
  <si>
    <t>Tornero de Aguila, Félix</t>
  </si>
  <si>
    <t>Félix Tornero de Aguila</t>
  </si>
  <si>
    <t>aumentar el número de los discípulos observadorres, nombrando últimamente á los sugetos siguientes: D. Félix Tornero de Aguila, maestro de primeras letras , comisionado por la ciudad de Cartagena ; D. Manuel Díaz, pensionado por la sociedad patriótica de Murcia; ei presbítero D. Josef Fontana, vice-direct</t>
  </si>
  <si>
    <t>Tornero del Aguila, Félix</t>
  </si>
  <si>
    <t>Félix Tornero del Aguila</t>
  </si>
  <si>
    <t>S. Ildefonso: D. Tomas de NenclaresPalacios, oficial de la dirección general de reales provisiones: D. Félix Tornero del Aguila , maestro de primeras letras de Cartagena: D. Jesualdo Manuel Diaz, maestro de primeras letras de Murcia: el teniente coronel de granaderos Provinciales D. Tomas de Llanes: D. Jos</t>
  </si>
  <si>
    <t>Torqíiátó Antonio Collado</t>
  </si>
  <si>
    <t>lto , con cruz de ébano , y s'úurna denógal; tasado en rs. • ; 'v En virtud- de providencia del Sr. D. Torqíiátó Antonio Collado, teniente corregidor de éstaVilla, y á instancia de los interesados, se manda sacar á subasta pública por término de 30 dias la cabaña lanar fina leonesa trashumante, titulada de</t>
  </si>
  <si>
    <t>Torqu</t>
  </si>
  <si>
    <t>imprenta real; y en Cádiz en casa de D. Manuel Navarro. VENTAS JUDICIALES. Por providencia del Sr, D. Torqu&amp;to Antonio Collado, teniente corregidor de esta vida, se ha mandado continuar por término de 15 dias la subasta de las fincas siguientes: una casa cn.la vida de Barajas, sita en í</t>
  </si>
  <si>
    <t>e media fanega, ci 800; y 2 eras empedradas, en 6$. Quien quisiere hacer postura, acuda ante el Sr. D. Torqu3to Antonio Collado, teniente corregidor de esta villa, por la escribanía cícl número que cxcrce D. Juan Raya; y está señalado para su remate el día 20 de este mes. Por providencia</t>
  </si>
  <si>
    <t>Torquato</t>
  </si>
  <si>
    <t>e. la misma villa y.oficio del Escribano da Ayuntamiento, don i: se ha sen Por la audiencia del §r. D. Torquato está'villa , y escribanía de D. Ramón García Ximcnez, se vende una casa á la malicia en la calle del Carnero, nám.'2, manz. 92, tasada en r 1,042 rs. Quien quisiere hacer postura ac</t>
  </si>
  <si>
    <t>ino de Yepes, en la ribera, de caber, 21 arapzadas, valuadas en 550 rs. cada una, acuda ante el Sr. D. Torquato ^sAntonio Collado, teniente corregidor de esta villa, por la escribanía de D. Juan Raya ; previniéndose que:está señalado el día 30 del corriente para su remate. Por providencia d</t>
  </si>
  <si>
    <t>Torquato Antonio</t>
  </si>
  <si>
    <t>ntes en ella en 61 © rs. , se ha señalado el día 13; del corriente en la audiencia del Sr. Teniente D. Torquato Antonio* Collado por la escribanía de D. Julián González Saez. Proyecto presentado al Rey luis xiv de Francia para el fomento de su comercio y marina mercante. Véndese en. la librería de</t>
  </si>
  <si>
    <t>Torquáto Antonió CoHado</t>
  </si>
  <si>
    <t>1285 D. Torquáto Antonió CoHado, teniente córregtdór de ésta villa, pór ante el escriban© de número D. Ramón García Ximenez. Por providencia de D. Juan López de Vinuesa, subdelegado para la venta de bienes ecles</t>
  </si>
  <si>
    <t>Torquato Antonio Collado</t>
  </si>
  <si>
    <t>ambten se hallará en rl mismo d^sp^- ho el Estado Militar en.8.° marquida. Por la audiencia dei'Sr. D. Torquato Antonio Collado, Teniente Corregidor de esta villa, y escribanía de D. Antonio Fernandez,se han mandado sacar a subasta, por término de 15 dias contados desde 22 de Diciembre áltimo, las fincas s</t>
  </si>
  <si>
    <t>edores de Pedro Burgos Higares, vecino que fué del lugar deValiecas, deberán comparecer ante el Sr. D. Torquato Antonio Collado, Teniente Corregidor de esta villa, en el término de go días contados desde el 22 de Diciembre último, por ia escribanía de D. Antonio Fernandez, donde se hallan radicados los aut</t>
  </si>
  <si>
    <t>. AnJ ton i o López de Salazar. - ; v &gt; , ^ En virtud ¿de providencia del Sr. D.Torquato Antonio Collado, Teniente Coré regidor de esta villa, se vende una casa sita en la ¡calle idel Caballero de’ Gracia* ñúm. 33 , manz. 292 tasada en 104,644^3. Quien quisiere hacer postura acuda á Ja escriba</t>
  </si>
  <si>
    <t>te el referido Sr. Alcalde y escribanía de D. Miguel García de la Madrid'. Por providencia dél' Sr. D. Torquato Antonio Collado, Teniente Corregidor de .esta villa,, se ha mandado sacará pública subasta, por término de 30 dias contados desde 2:2 de Enero último, el arrendamiento de una viña en el sitio lla</t>
  </si>
  <si>
    <t>quisiere hacer postura acuda por la escribanía de D. Julián González Saez. Por providencia del Sr. D. Torquato Antonio Collado, Teniente Corregidor5 de esta villa, y escribanía de D. Tomas de Sancha y Prado, se han mandado sacar á pública subasta dos casas sitas en esta corteé una calle de. la Montera ,-</t>
  </si>
  <si>
    <t>horas» - — -■ ------------------------------------------------------ 1 1 ■ ----- 1 *•-=-Por el Sr. D. Torquato Antonio Collado» Teniente Corregidor deetta villa, Juez comisionado para el conocimiento de la quiebra de D. Manuel García Márquez , se ha mandado, en cumplimiento de lo decretado últimamente por</t>
  </si>
  <si>
    <t>ntes. Todo el país es luterano; tiene 2® soldados, y sus rentas son unos 300® florines.” Por el Sr. D. Torquato Antonio Collado, Teniente Corregidor de esta villa,y escribanía de D. Claudio Sanz, en virtud de real facultad se han mandado sacar i pública subasta las fincas y heredades siguientes. Villanueva</t>
  </si>
  <si>
    <t>niente. Adviértese que se cierra la subscripción el último de mayo próximo. Por providencia del Sr. D. Torquato Antonio Collado, teniente corregidor de esta villa., se ha señalado el día 9 del presante .para el remate de las fincas siguientes; una casa sita en la calle de la Rúd$, núm. 6, manz. .86, tasada</t>
  </si>
  <si>
    <t>está señalado el remate de estos bienes para el dia 31 del presente. En virtud de comisión del Sr. D. Torquato Antonio Collado, teniente corregidor de esta villa, se sacan á pública subasta , por término de 30 dias, las fincas siguientes sitas en el término y lugar*de Villaverdc: una casa al sitio que lla</t>
  </si>
  <si>
    <t>Por providencia del Sr. D.Torquato Antonio Collado , teniente cofregidor.dc esta? villa, se ha mandado sacar ¿pública subasta, por término de 30 días contadas desde 6 deí presente, 4 casas sitas en esta corte, las dos unidas y con un soÍDf p</t>
  </si>
  <si>
    <t>dos, al tercero siguiente se procederá al remate en la casa de intendencia. Por providencia del Sr. D. Torquato Antonio Collado, terjiente corregidor de esta villa, y executoria de los Sres. del Consejo, se ha mandado sacar á pública subasta, por término de 30 dias contados desde 14 del corriente, una casa</t>
  </si>
  <si>
    <t>valuada en 30,338 rs., se ha señalado el día 10 de Abril próximo á la puerta de la audiencia del Sr D. Torquato Antonio Collado, teniente corregidor de esta villa. Quien quisiere hacer postura acuda ante dicho señor, por la escribanía de D. Josef Antonio Canosa. avisos. En 27 de Junio de 1806 se ausentó de</t>
  </si>
  <si>
    <t>amente el sistema actual de nuestras cocinas.&gt;{Se concluirá*} . VENTAS JUDICIALES. ----- u ' El Sr. D. Torquato Antonio Collado, teniente corregidor de esta villa, fia señalado el dia 13 del presente, ante D. Julián González Saez, para él reárate del término del despoblado de la villa de la Torrecilla de I</t>
  </si>
  <si>
    <t>tá señalado el lunes 27 del presente mes de abril en la citada escribanía. Por la audiencia del Sr. D. Torquato Antonio Collado, teniente corregidor de esta villa, y escribanía de D. Miguel Gonzalo, se están subastando las fincas siguientes: una casa sita en e ta corte en la calle de la Cruz de la Zarza, n</t>
  </si>
  <si>
    <t>3,100 rs. á pagar en vales reales. Quien quisiere hacer dicha mejora acuda por la audiencia del Sr. D. Torquato Antonio Collado, teniente corregidor de esta villa, y escribanía de D. Ramón de Milla Cuellar. Quien quisiere comprar una casa sita en esta corte, calle del Rosario , barrios de S. Francisco , ma</t>
  </si>
  <si>
    <t>á pagar en vales reales. Quien quisiere hacer mejora del quarto comparezca á executarlo ante el Sr. D. Torquato Antonio Collado, teniente corregidor de esta villa -, por la. escribanía de DT. Ramón García Ximcnez, en. el término de io dias . señalados por d;cho s^nor intendente. f , ( Por providencia del s</t>
  </si>
  <si>
    <t>idos que de no executarlo les parará el perjuicio que haya lugar. Ante el Sr. D.Torquato Antonio Collado, teniente corregidor de esta villa, y escribanía de D. Casimiro Antonio Gómez, se halla radicada la dimisión de bienes de Miguel Casado, vecino del lugar de Vállecas; y á instancia de difer</t>
  </si>
  <si>
    <t>e corregidor de esta villa, por la escribanía de D. ILamon García Ximenez. Por la audiencia del Sr. D. Torquato Antonio Collado, teniente corregidor de esta villa , y escribanía de D. Antonio Fernandez, se-ha sacado á pública subasta, por término de 30 días, un oficio de rebeptof de esta córte y reales con</t>
  </si>
  <si>
    <t>1*7 Por providencia del Sr. D. Torquato Antonio Collado, teniente corregidor de esta villa, se ha señalado el día 30 del presente para el remate de las fincas siguientes sitas en el lugar de las Rozas. Memoria de D. Carlos Venero y Ley</t>
  </si>
  <si>
    <t>previniéndose de que está señalado para su remate el dia 27 del corriente. Por providencia del Sr. D. Torquato Antonio Collado, teniente corregidor de esta villa, y escribanía de D. Tomas de Sancha y Prado, se ha mandado satar á pública subasta una casa sita en la calle de Jácometrezo, núm. 20, manz. 379,</t>
  </si>
  <si>
    <t>en vales reales. Quien quisiere hacer la mejora del quarto, acuda ante el señor teniente corregidor D. Torquato Antonio Collado, por la escribanía que exerce D. Juan Raya, dentro de 30 dias contados desde el 20 del corriente. El Sr. D. Torquato Antonio Collado, teniente corregidor de esta villa, ha señalad</t>
  </si>
  <si>
    <t>Tórquato Antonio Collado</t>
  </si>
  <si>
    <t>s del eclipse. VENTA JUDICIAL. A voluntad de su dueño, y en virtud de real facultad cometida al Sr. D. Tórquato Antonio Collado, teniente corregidor de esta villa, se ha mandado continuar la subasta del término del despoblado de la villa de la Torrecilla de Iban Crispin, por baxo de Perales del Rio, el qua</t>
  </si>
  <si>
    <t>rriente.; con prevención de que el último se señala para el remate de ellas en la audiencia del Sr. D. Torquato Antonio Collado, teniente corregidor de esta villa. Por providencia de D. Rafael Velarde, juez comisionado para la venta de bienes eclesiásticos en la diócesi de Urgel, se ha señalado el dia 15 d</t>
  </si>
  <si>
    <t>remate de otras 4 tierras'en término de Carabanchcl de arriba, tasadas en 3600 rs. Por auto del Sr. D. Torquato Antonio Collado, teniente corregidor de está villa, y escribanía de D. Julián González Saez, se ha mandado sacar á pública subasta, por término preciso de 15 dias, una casa sita en esta corte, ca</t>
  </si>
  <si>
    <t>, último y perentorio términb de 30 dias. Quien quisiere hacer postura acuda á la audiencia del Sr. D. Torquato Antonio Collado, teniente corregidor de esta villa, por la escribanía de D. Julián González Saez, donde se informará de sus pormenores; en inteligencia de que para su remate está señalado el 2 2</t>
  </si>
  <si>
    <t>ero y con fachada á la calle de D. Pedro, en 34,938. Quien quisiere hacer postura acuda ante el Sr. D. Torquato Antonio Collado, teniente corregidor de esta villa, por la escribanía que exerce D. Juan Raya. Por la audiencia del señor alcalde D. Manuel María de Junco se ha mandado* sacar á pública subasta u</t>
  </si>
  <si>
    <t>la contaduría general de encomiendas que existe dentro la casa de los reales consejos. Ante el Sr. D. Torquato Antonio Collado, teniente corrígidor de esta villa, y escribanía de D. Santiago de Estepar, se siguen autos por parte de varios hermanos y sobrinos de D. Juan Manuel de Arangoiti y Biguri, solter</t>
  </si>
  <si>
    <t>esados en la testamentaría del limo. Sr. Marques de la Hinojosa, y en virtud de providencia del Sr. D. Torquato Antonio Collado, teniente corregidor de esta villa, se ha mandado sacar á pública subasta una dehesa, cuyas posesiones se denominan; el Madroño y Peribañez, sita en la real de la Serena, de caber</t>
  </si>
  <si>
    <t>rs., y rematada en 173,500 rs. áypagar en vales reales. Quien quisiereha-t cerla acuda ante el Sr. D. Torquato Antonio Collado¿ teniente corregidor de esta villa, por la escribanía de D, Miguel Gonzalo. AVISOS, Por el juzgado del Sr. D. Francisco López Lisperguer, alcalde de casa y corte, y escribanía de</t>
  </si>
  <si>
    <t>dé la Imprenta real, á 30 rs. en rústica y g8 en pasta. VENTAS JUDICIALES. Por providencia del Sr. D. Torquato Antonio Collado, teniente corregidor de esta villa, y á instancia de.los herederos é interesados en la testamentaría deí limo. Sr. Marques de la Hinojosa, se ha señalado el 14 del corriente para</t>
  </si>
  <si>
    <t>ta de 17 de julio último, se ha señalado el dia 29 del corriente en la audiencia del señor teniente D. Torquato Antonio Collado, comisionado por S. M. ai efecto, ante D. JuliánSaez, escribano del número de esta villa. AVISOS. En 22 de junio de este año la casa de los señores de Arabet, Gautier, Manning y c</t>
  </si>
  <si>
    <t>uyas providencias, por su ausencia y rebeldía, les parará el perjuicio que haya lugar.. Por el Sr., D. Torquato Antonio Collado,, teniente corregidor dé esta villa , y escribanía de D. Antonio Fernandez,, se cita,, llama y emplaza á todas y qualesquiera. personas que presuman tener algún derecho ó repetici</t>
  </si>
  <si>
    <t>acordado se publique en 3 gazetas, para que ninguno pueda alegar ignorancia. venta judicial. El Sr. D. Torquato Antonio Collado , teniente corregidor de esta villa, en providencia de 18 del corriente, y á instancia de los herederos é interesados en la testamentaría del limo. Sr. Marques de la Hinojosa, ha</t>
  </si>
  <si>
    <t>comerciantes de estampas ú otros traficantes de Francia. VENTAS JUDICIALES. Por providencia del Sr. D. Torquato Antonio Collado, teniente corregidor de esta villa, y á instancia de la poseedora de varias fincas existentes en la ciudad de Murcia, partido de Santomera, se han mandado sacar á pública subasta,</t>
  </si>
  <si>
    <t>o Mártir, núm. i» manz. 46, y en virtud de providencias del señor teniente corregidor de esta villa D. Torquato Antonio Collado, ante el escribano de su número.D. Jacobo Manuel Manrique, se ha mandado sacar á subasta, por término de 30 dias contados desde el 5 del corriente, baxo del precio de 212,455 r**»</t>
  </si>
  <si>
    <t>fanegas de iguales clases, valuada en 31 2,3 20 rs. Quien quisiere hacer postura acuda ante el Sr. D. Torquato Antonio Collado, teniente corregidor de esta, villa, por la escribanía del número de D. Casimiro Antonio Gómez, en el término de 30 dias contados desde el 15 del presente; en inteligencia de que</t>
  </si>
  <si>
    <t>23 del mismo, se ha vuelto á señalar el dia 6 de octubre próximo en la audiencia del señor teniente D. Torquato Antonio Collado, comisionado por S.. M. al efecto, ante D. Julián González Saez,. escribano del número de esta villa. AVTSO. En la villa de Belalcázar, partido de Villanueva de la Serena, provinc</t>
  </si>
  <si>
    <t>es, á la qual tiene su puerta principal, tasada en 12,740 rs., y dan por ella o©, acuda ante el Sr. D. Torquato Antonio Collado, teniente corregidor de esta villa, por I3 escribanía del número de D. Juan Raya; y para su remate está señalado el dia 7 del corriente. En virtud de providencia del Sr. D. Franci</t>
  </si>
  <si>
    <t>do con la misma casa. Con real facultad, á voluntad de su dueño, y en virtud de providencia del Sr. D. Torquato Antonio Collado, teniente corregidor de esta villa, se vende el título de Castilla con la denominación de Marques de la Torre de Estéban Ambran, estimado en 264® rs.-«Igualmente se vende con real</t>
  </si>
  <si>
    <t>á D. Antolin del Barrio, maestro de veterinaria en Reynosa, provincia de Búrgos. Por providencia de D. Torquato Antonio Collado, teniente corregidor de esta villa, se cita, llama y emplaza á todos los acreedores al concurso de D. Diego Trigueros, vecino que fue de esta corte, para que dentro de go dias com</t>
  </si>
  <si>
    <t>o se actúe el mismo perjuicio que si fuese con su intervención y audiencia* Por providencia del Sr. D. Torquato Antonio Collado, teniente corregidor de esta villa, se cita, llama y emplaza á los parientes y demas personas que pretendan tener derecho á los bienes que han quedado por fallecimiento abintestat</t>
  </si>
  <si>
    <t>usión de vales reales; y está señalado para su remate el dia 31 de este mes en la audiencia del Sr. D. Torquato Antonio Collado, teniente corregidor de esta villa. Quien quisiere hacer mejora, acuda á la escribanía del número de D. Casimiro Antonio Gómez. Para la mejora del quarto de una casa sita en esta</t>
  </si>
  <si>
    <t>D. León de Sagasta, por la escribanía del número de D. Juan Antonio Urraza. Por providencia del Sr. D. Torquato Antonio Collado, teniente corregidor de esta villa, se vende una tierra en término del lugar de Fuencarral, donde nominan Valdesenderin, de caber 7 fanegas, tasada en 2100 rs.: una viña majuelo,</t>
  </si>
  <si>
    <t>previniéndose que para su remate está señalado el martes 17 del corriente. Por la audiencia del Sr. D. Torquato Antonio Collado, teniente corregidor de esta villa, se está subastando una casa sita en esta corte, calle de la Comadre, número 36, manz. 50, tasada en 47,523 rs. Quien quisiere hacer postura, ac</t>
  </si>
  <si>
    <t>Estéban Ambran, apreciado en 264$ rs., está señalado el dia 28 del presente en la audiencia del Sr. D. Torquato Antonio Collado, teniente corregidor de esta villa, ante el escribano del número D. Julián González Saez.__.Por el mismo señor teniente y citada escribanía se ha mandado publicar por 15 dias mas</t>
  </si>
  <si>
    <t>la imprenta real, y en Cádiz en casa de D. Manuel Navarro. VENTA JUDICIAL. Por providencia del Sr. D. Torquato Antonio Collado, teniente corregidor de esta villa, se ha señalado el dia 38 del presente para el remate de las lincas siguientes, sitas en término del lugar de Fuencarral : una tierra donde nomb</t>
  </si>
  <si>
    <t>esiásticos en aquella ciudad y su diócesi, por el oficio de D. Josef Igual. Por providencia del Sr. D. Torquato Antonio Collado, teniente corregidor de esta villa, juez comisionado por el real y supremo consejo de Castilla para entender en los autos de concurso de acreedores del señor marques de Benavent,</t>
  </si>
  <si>
    <t>; coyas circunstancias han hecho muy sensible su muerte. VENTAS JUDICIALES. Por providencia del Sr. D. Torquato Antonio Collado, teniente corregidor de esta villa, y escribanía de su número, que exerce D. Juan Raya, se ha señalado e! dia 7 de este mes para el remate del piso principal de la casa sita en la</t>
  </si>
  <si>
    <t>la insinuada casa de todas las cargas que sobre sí tenga. Quien quisiere hacerla, acuda ante el Sr. Don Torquato Antonio Collado, teniente corregidor de esta villa, por la escribanía del número de D. Miguel Gonzalo, que se admitirá siempre que llegue á la quarta parte de su remate. Per providencia de D. Ant</t>
  </si>
  <si>
    <t>tura á qualquiera de ellas, acuda á la citada escribanía. En virtud de real orden comunicada al Sr. D. Torquato Antonio Collado, teniente corregidor de esta villa, se ha señalado el dia 2 de enero próximo para el remate del término del despoblado de la villa de la Torrecilla de Iban Crispin, tasado, Con su</t>
  </si>
  <si>
    <t>1323 VENTAS JUDICIALES. El Sr. D. Torquato Antonio Collado, teniente corregidor de esta villa, ha señalado el dia 24 del corriente para ci remate de dos casas sitas en esta corte , la una en la calle del Conde-Duque, con acesoriss á la de</t>
  </si>
  <si>
    <t>Torquato Artomo Collado</t>
  </si>
  <si>
    <t>atrón, y Josef Antonio Baeza, curas en la misma diócesi. VJSNTAS JUMCJAXJiSPor la audiencia del Sr. D. Torquato Artomo Collado, teniente corregidor de esta villa, y escribanía del número del cargo de D. Tomas de Sancha y Prado, se han mandado sacar á pública subasta, por término de 30 dias contados dcice</t>
  </si>
  <si>
    <t>Torquato Torio</t>
  </si>
  <si>
    <t>hallen con las circunstancias correspondientes para esta enseñanza según el método establecido por D. Torquato Torio de ia Riva, acudirán hasta primeros de noviembre próximo á la junta gubernativa de dicha viHa por medio de D. Josef Alvarez Lorenzana, cura párroco de la misma. LIBROS. Dirección de</t>
  </si>
  <si>
    <t>Torquato Torio Je la Riva</t>
  </si>
  <si>
    <t>e ir en carta. GRABADO. Colección de muestras de letra bastarda, inglesa, italiana &amp;c., escrita por Don Torquato Torio Je la Riva con arreglo á su arte de escribir por reglas y con muestras, mandado establecer de orden de S. M. y de su supremo consejo en todas las escuelas del reyno. Quaderno en rústica de 1</t>
  </si>
  <si>
    <t>Torquítor Antonio Collado</t>
  </si>
  <si>
    <t>ías'contados desde el 2 del corriente. ’ - . En virítud de providencia déLSw D; Torquítor Antonio Collado,Teniente Corregidor.de está;villa, se han sacado'á subasta, por término de 30 dias contado? désíe 19 del presénte, las fincas siguientes; una casa en la villa de Barajas, en Ja calle Real</t>
  </si>
  <si>
    <t>Torregrosa y ÍL Juan Espinosa, Manuel</t>
  </si>
  <si>
    <t>Manuel Torregrosa y ÍL Juan Espinosa</t>
  </si>
  <si>
    <t>raduado de capitán, D. Diego Lorenzo ;-tenencias á los subtenientes \de granaderos D. Juan Sobrado, Don Manuel Torregrosa y ÍL Juan Espinosa; y subtenencias al sargento primero D. Ignacio AyzE, y á-los cadetes D. Tomas^y D.- Josef Antonio AL¿ dao^ y&gt; D.-Francisco Xavier Mónftuéi : en el de la Princesa el empleo dé sarg</t>
  </si>
  <si>
    <t>Tosef García de Mernies</t>
  </si>
  <si>
    <t>ra inculta de batatas con semilla de esta planta , y coger en dicho término 216$ fanegas: 600 rs. ¿ Don Tosef García de Mernies, vecino de Mantaras, Concejo. de Castropol, poc haber acreditado ,que, desde &gt;15 años sá esta parte tiene puesto en terrenos baldíos é incultos de,aquel Concejo mas de 50® pinabet</t>
  </si>
  <si>
    <t>Tosta, Miguel</t>
  </si>
  <si>
    <t>Miguel Tosta</t>
  </si>
  <si>
    <t>Córdoba, vacante por promoción de D. Josef Joaquín Mazuelo á ración entera de la propia iglesia, á D. Miguel Tosta: para el beneficio simple rural del despoblado de S. Pedro de Campean en la diócesi de Zamora, vacante por fallecimiento de Don Francisco Benigno Pelaz, á D. Juan de Dios Arau; y</t>
  </si>
  <si>
    <t>Traserra, Francisco</t>
  </si>
  <si>
    <t>Francisco Traserra</t>
  </si>
  <si>
    <t>lamado Mongía, de la parroquial de S. Andrés de Tona, diócesi de Vich, vacante por fallecimiento de Don Francisco Traserra ; y á D. Manuel Verd y Rcguis para una cancngía de la catedral de Mallorca', vacante por fallecimiento de D. josef Quadradc. En la compañía Italiana de reales guardias de Corps ha</t>
  </si>
  <si>
    <t>Trdxillo, Melchor Nicolás</t>
  </si>
  <si>
    <t>Melchor Nicolás Trdxillo</t>
  </si>
  <si>
    <t>del presente. Por providencia del Real Tribunal del Consulado de comercio de Cádiz, y escribanía de D. Melchor Nicolás Trdxillo,íseímanda citar y emplazar á.qualesquiera que sea acreedor ó se considete con derecho á los biene.s del juicio universal de concurso de acreedores de la compañía titulada Martens</t>
  </si>
  <si>
    <t>Treilíard, General</t>
  </si>
  <si>
    <t>General Treilíard</t>
  </si>
  <si>
    <t>regimiento de infantería ligera y el 34.0; han quedado heridos los Generales Vedel y Claparede. El General Treilíard, Comandante de la caballería ligera, B.oussard, Comandante de una Brigada de la división de dragones Beker, :e!.Coronel Barthelémydel regimiento 15.0 de dragones,, han,salido heri</t>
  </si>
  <si>
    <t>Trejo, Pedro</t>
  </si>
  <si>
    <t>Pedro Trejo</t>
  </si>
  <si>
    <t>Rey en nombrarle para una Ración, que en la catedral de Patencia ha resultado vacante por muerte de D. Pedro Trejo , y no haber tenido efectosla&gt;provisión que tuvo a bien S. M. de hacer en el P. D. Josef Jorva, del Órden de Clérigos Menores, y Capellán del regimiento de infantería :del Rey; y</t>
  </si>
  <si>
    <t>Tressel, Coronel</t>
  </si>
  <si>
    <t>Coronel Tressel</t>
  </si>
  <si>
    <t>el Sargento mayor Beckendorf, Comandante de Spandau, ha‘ dexado el servicio; el General Kleist y el Coronel Tressel, encargados de la defensa de Mag— déburgo, han dexado también el servicio. Berlín io de enero. Se asegura que el Emperador de Rusia ha prohibido las relaciones comerciales entre s</t>
  </si>
  <si>
    <t>Tresserras, Salvador</t>
  </si>
  <si>
    <t>Salvador Tresserras</t>
  </si>
  <si>
    <t>se ha servido conceder plazas de discípulos observadores del real instituto militar pestalozziano á D, Salvador Tresserras y D. Pablo Alabern, comisionados por aquel cuerpo para aprender el nuevo método de enseñanza. lEn cumplimiento de lo resuelto por S. M*» y comunicado de su real orden á la dirección g</t>
  </si>
  <si>
    <t>Trevijano, Manuel María</t>
  </si>
  <si>
    <t>Manuel María Trevijano</t>
  </si>
  <si>
    <t>ey se ha servido conferir el empleo de teniente coronel del regimiento de infantería del Príncipe á D. Manuel María Trevijano, comandante del tercer batallón del de Asturias. En el regimiento de caballería del Rey se ha servido S. M. conceder empleo de portaestandarte al cadete D. Asensio Hernández: en e</t>
  </si>
  <si>
    <t>Triarte, Luis</t>
  </si>
  <si>
    <t>Luis Triarte</t>
  </si>
  <si>
    <t>nto de dragones de Almansa al ayudante D. Guillermo Alcober; y en el de Pavía ayudantía al teniente D. Luis Triarte. En atención á los méritos y buenos servicias de D. Rafael Gutiérrez, visitador general de las reales \ osras de Madrid , sitios y demás del reyno, se ha servido el rey concederle</t>
  </si>
  <si>
    <t>Trigueros, Diego</t>
  </si>
  <si>
    <t>Diego Trigueros</t>
  </si>
  <si>
    <t>, teniente corregidor de esta villa, se cita, llama y emplaza á todos los acreedores al concurso de D. Diego Trigueros, vecino que fue de esta corte, para que dentro de go dias comparezcan en el oficio de D. Francisco Jares Ma{donado, por sí ó por procurador con poder bastante, á pedir y hacer lo</t>
  </si>
  <si>
    <t>Truxilio, Melchor Nícolas</t>
  </si>
  <si>
    <t>Melchor Nícolas Truxilio</t>
  </si>
  <si>
    <t>943 AVISOS* • _ ' " En.e! jurg.ido del real consulado de Cádiz, y escribanía de D. Melchor Nícolas Truxilio,' penden autos de concurso de acreedores á la casa que se tituló en aquel comercio de Sebastian y Josef LasquctI hijo, en los quales por providencia de 14 de agosto se ha mandado</t>
  </si>
  <si>
    <t>Truxillo, Melchor Ñicolas</t>
  </si>
  <si>
    <t>Melchor Ñicolas Truxillo</t>
  </si>
  <si>
    <t>ha escribanía. _ En el -Real ¡-Tribunal del Consulado de .comercio cié Cádiz y por pu escribanía de D. Melchor Ñicolas Truxillo, Se formaron ¡¿útos en 5' de Éebrero’de I790 cómo concurso. d„e acreedores á D. Juan Topez^Cabai!ero , .en los quales recavó sen-1 tencia definitiva de graduación én 28' dé Eneró'</t>
  </si>
  <si>
    <t>Truxillo, Melchor Nicolás</t>
  </si>
  <si>
    <t>Melchor Nicolás Truxillo</t>
  </si>
  <si>
    <t>cho con su audiencia y consentimiento, y les documentos se presentarán por la escribanía que exerce D. Melchor Nicolás Truxillo. Por providencia dei Sr. D. Alfonso Duran y Earazab^l,,Alcalde de Casa y Corte, y Juez de la testamentaría de D. Domingo Moreno y Vicario, Agente que; fué del número de Indias, es</t>
  </si>
  <si>
    <t>S. Bernardo en 58,322 rs. 7 mrs. AVISO. En el tribunal del consulado de Cádiz, por la escribanía de D. Melchor Nicolás Truxillo, penden autos sobre concurso de acreedores de D. Antonio Vázquez y Contreras, en los quales se mandó verificar ciertos pagos, baxo fianza de acreedor de mejor derecho; y en 9 de m</t>
  </si>
  <si>
    <t>ovidencia del real tribunal del consulado de Cádiz de 20 de marzo de •ste año, por la escribanía de D. Melchor Nicolás Truxillo, se manda citar y em</t>
  </si>
  <si>
    <t>r, Manning y compañía, sus dueños legítimos. En el tribunal del consulado de Cádiz, y escribanía de D. Melchor Nicolás Truxillo , penden autos de concurso de acreedores, á la testamentaría de D. Tomas Papeti, en los quales se ha dado providencia mandando emplazar á qualcsquiera que se estime con derecho á</t>
  </si>
  <si>
    <t>dalucía...... Mayo... 1803 149.. 17 En el real tribunal del consulado de Cádiz, y ante el escribano D. Melchor Nicolás Truxillo, penden autos seguidos por los síndicos del concurso de la casa de Pardo y Freyre contra Juan de Sierra y Francisca de los Santos, su muger, sobre cobro del importe de ciertas esc</t>
  </si>
  <si>
    <t>14, y en León á D. Gerónimo Gómez González. Por el tribunal del consulado de Cádiz, y escribanía de D. Melchor Nicolás Truxillo, se cita, llama y emplaza á qualquiera que se estime con derecho á los bienes del concurso de acreedores de D. Francisco Landestoy, para que en el preciso término de 10 meses, con</t>
  </si>
  <si>
    <t>Truxíllo, Melchor Nicolás</t>
  </si>
  <si>
    <t>Melchor Nicolás Truxíllo</t>
  </si>
  <si>
    <t>ero de D. Claudio Sanz. AVISO. Por providencia del tribunal del consulado de Cádiz, y escribanía de D. Melchor Nicolás Truxíllo, se cita, llama y emplaza á qualquiera que se considere con derecho á los bienes del concurso de acreedores de D. Pedro Catá, de aquel vecindario y comercio, para que comparezca á</t>
  </si>
  <si>
    <t>n mas citarles ni emplazarles. Por providencia del tribunal del consulado de Cádiz, y escribanía de D. Melchor Nicolás Truxillo, se cita, llama y emplaza á quantos se estimen con derecho á los bienes del concurso de acreedores de D. Juan Antonio Pico y su sociedad intitulada Pico hermanos, para que en el p</t>
  </si>
  <si>
    <t>esado D. Josef Llórente Perez. Por providencia del tribunal del consulado de Cádiz, y escribanía de D. Melchor Nicolás Truxillo, se cita, llama y emplaza á qualquiera que se considere con</t>
  </si>
  <si>
    <t>n de quantos sean interesados. Por providencia del tribunal del consulado de Cádiz, y escribanía de D. Melchor Nicolás Truxillo, se cita, llama y emplaza á los que se consideren con derecho á los bienes del concurso de acreedores deD. Juan Cristóbal Chico de Cárdenas, para que en el perentorio término de 8</t>
  </si>
  <si>
    <t>Truyols, Francisco</t>
  </si>
  <si>
    <t>Francisco Truyols</t>
  </si>
  <si>
    <t>neral en gefe les pasará revista mañana. ESPAÑA. Madrid de setiembre. S. M. se ha servido nombrar á D. Francisco Truyols, canónigo de la</t>
  </si>
  <si>
    <t>Tuan Josef Lostau</t>
  </si>
  <si>
    <t>era de* voluntarios de Barbastro se ha servido S. M. promover á capitán segundo al segundo ayudante D. Tuan Josef Lostau. S. M. se ha dignado nombrar para el corregimiento de letras de. la ciudad de -Bujalance á D. Juan Bautista Alberola; para igual corregimiento de la villa de Molina de Aragón ú D.</t>
  </si>
  <si>
    <t>Tuguet, Joaquín</t>
  </si>
  <si>
    <t>Joaquín Tuguet</t>
  </si>
  <si>
    <t>rvido el Rey nombrar cadete de numero al supernumerario D. Luis $ariac, y supernumerario al guardia D. Joaquín Tuguet. S. M. se ha servido conferir el empleo de comandante dei segundo batallón del regimiento de reales guardias Valonas al brigadier D. Pedro Antonio de Goossens, capitán del mismo c</t>
  </si>
  <si>
    <t>Tulla</t>
  </si>
  <si>
    <t>en pocos años se concluirín las obras necesarias para el dé agüe, cuya dilección íe ha, cometido á Mr. Tulla, arquitecto hidráulico muy acreditado.</t>
  </si>
  <si>
    <t>Turón, Francisco</t>
  </si>
  <si>
    <t>Francisco Turón</t>
  </si>
  <si>
    <t>beneficio residencial de la parroquial de Prats del Rey, diócesi de Vich, vacante por promoción de D. Francisco Turón á otro de la catedral de Gerona: á D. Fernando Huguet y Llocer, racionero penitenciario de la catedral de Ibiza, para lá canongía de la colegiata de Pons, diócesi de Urgel, bacant</t>
  </si>
  <si>
    <t>U Ir</t>
  </si>
  <si>
    <t>de Traxler á capitán segundo al teniente D. Ventura Kasly; á teniente al subteniente de granaderos D. U Ir ico Mayenfuch; á este empleo al de fusileros Don.</t>
  </si>
  <si>
    <t>Ugálde, Pedro</t>
  </si>
  <si>
    <t>Pedro Ugálde</t>
  </si>
  <si>
    <t>. Cayetano Payes y D. Benito Padilla: teniente y alférez en el esqyadron de dragones dé Sonsonate á D. Pedro Ugálde y D. Joaquín Tosa; y capitán, teniente y subteniente en la compañía del presidio del Peten de Itza á D. Juan López, D. Manuel Alipi y D. Camilo Gómez, los nueve últimos vecinos de las</t>
  </si>
  <si>
    <t>Ugarte Barrientos, Francisco</t>
  </si>
  <si>
    <t>Francisco Ugarte Barrientos</t>
  </si>
  <si>
    <t>Manuel Ríos, del quarto regimiento. El Rey, atendiendo á los dilatados y distinguidos servicios de D. Francisco Ugarte Barrientos, contador principal de rentas de la provincia de la Mancha, y á su avanzada edad y achaques, se ha dignado jubilarle con todo su sueldo, yios honores de contador de exército, nomb</t>
  </si>
  <si>
    <t>Ugarte, Domingo</t>
  </si>
  <si>
    <t>Domingo Ugarte</t>
  </si>
  <si>
    <t>Capitán D. Ramón Ce val los; á Capitán al Teniente D. Francisco Gutiérrez, y á Teniente al Alférez D. Domingo Ugarte. Noticias estadísticas sobre las casas de Saxonia que han accedido ci la confederación del Rhin. „ Fl reyno de Saxonia contiene 716 millas quadradas, 2.010® almas en 250 ciudades,</t>
  </si>
  <si>
    <t>Uííuuri, Antonio</t>
  </si>
  <si>
    <t>Antonio Uííuuri</t>
  </si>
  <si>
    <t>pañía Italiana de reales guardias de Corps ha promovido el Rey á cadete de número al supernumerario D. Antonio Uííuuri; y en la Americana del propio real cuerpo á cadete en propiedad ai supernumerario D. Josef Gasqüé, y á supernumerario al guardia D. Josef Escalada. En el regimiento de infantería</t>
  </si>
  <si>
    <t>Ulrica, Princesa</t>
  </si>
  <si>
    <t>Princesa Ulrica</t>
  </si>
  <si>
    <t>, y se le ha alojado en el palacio. No se halla aquí de la familia ducal sino la duquesa viuda y la Princesa Ulrica, que cuenta 83 años: ambas Princesas viven muy retiradas. , Escriben de Magdeburgo que las tropas francesas, que debían formar un campamento en las inmediaciones de aquella ciudad</t>
  </si>
  <si>
    <t>Unda, Pablo</t>
  </si>
  <si>
    <t>Pablo Unda</t>
  </si>
  <si>
    <t>bé de Otalora , D. Juan de Mazarredo, D. Juaa Ortiz de Zarate, D. Juan de Abrana, D. Pedro Cendeja, D. Pablo Unda, el cadete de reales guardias Walonas D. Félix Gilman, D. Pablo Ferrando, cadete del regimiento de infantería de Soria, D. Manuel Entreambasaguas, D. Pedro Sánchez Pavón, D. Joaqu</t>
  </si>
  <si>
    <t>D. Sebastian Fernandez de Navarrete y D. Luis Berganza; y los seminaristas D. Pedro Sánchez Pavón, D. Pablo Unda, D. Bonifacio Olivencia, D. Bernabé de Otalora, D. Juan de Mazarredo, D. Juan de Arana", D. Pablo Ferrando, cadete del regimiento de infantería de Soria, D. Eugenio de Zuloaga, Do</t>
  </si>
  <si>
    <t>Unzaga, Francisco</t>
  </si>
  <si>
    <t>Francisco Unzaga</t>
  </si>
  <si>
    <t>Manuel Elzaurdi. En Cuenca......... ..i Sres. viuda de Escolar, Noriéga é hijo. En Granada........ D, Francisco Unzaga. ' ■ .... En Gnadalaxara. D. Isidoro García Haza. ~En Jaén................ D. Pedro y D. Juan Esponera. En León................ D. Gerónimo Gómez.1' , ' : En Malaga.......... D. J</t>
  </si>
  <si>
    <t>Urbano Rafael de Tebari</t>
  </si>
  <si>
    <t>orascenEóídie O. Josef Gil de Sagredo al Arciprestazgo. de Alcara¿ e¿¡ el Arzobispado de Toledo, &lt;á D. Urbano Rafael dé Tebari,.*Capellánjefe numero :d¿ia misma Catedral de Almería; y para una Capellanía titular, que. se. halla vacante;en el Real ■Convento de la Encarnación de Madrid, por ascenso de D. Do</t>
  </si>
  <si>
    <t>Urbano Rafael de Tevar</t>
  </si>
  <si>
    <t>e ha servido nombrar para la capellanía de número de la catedral de Almería, vacante por ascenso de Don Urbano Rafael de Tevar á una ración de la misma iglesia, á D.Josef Antonio Qiier y de Sors, beneficiado de la parroquia de S. Vicente de la villa de Besalú: para el beneficio simple servidero de la parr</t>
  </si>
  <si>
    <t>Uriortua, Francisco Xavier</t>
  </si>
  <si>
    <t>Francisco Xavier Uriortua</t>
  </si>
  <si>
    <t>imprenta real; y en Cádiz en casa de D. Manuel Navarro. 1 VENTA'S JUDICIALES. ' Por providencia de D. Francisco Xavier Uriortua, juez comisionado regio para la venta de bienes eclesiásticos en la diócesi de Cádiz, se ha señalado el día?9 de mayo próximo pará el remate de 4 casas sitas en la ciudad de Cádiz</t>
  </si>
  <si>
    <t>' 492 VENTAS JUDICIALES. Por providencia de D Francisco Xavier Uriortua, juez comisionado regio para la venta de bienes eclesiásticos en la diócesi de Cádiz, se han señalado los dias 23, *5 Y del presente para el remate'de las fincas siguientes: una c</t>
  </si>
  <si>
    <t>Uriundo, Félix</t>
  </si>
  <si>
    <t>Félix Uriundo</t>
  </si>
  <si>
    <t>al agregado P. Francisco Urtusaustegei, al primer teniente D. Santiago Madan , y al primer ayudante D. Félix Uriundo: á primer teniente de granaderos ai de fusileros D. Josef Delahanty: á primer ayudante al primer teniente D. Buenaventura del Campo: á primeros tenientes de fusileros á Jos segund</t>
  </si>
  <si>
    <t>Urquiola, Andrés Ignacio</t>
  </si>
  <si>
    <t>Andrés Ignacio Urquiola</t>
  </si>
  <si>
    <t>a dispuesto se destine la expresada cantidad á los gastos de la esquadra dei departamento de Cádiz. Don Andrés Ignacio Urquiola, presbítero , abogado de los reales Consejos , vicario foráneo de la villa de Elgoybár y su partido en la provincia de Guipúzcoa, y comisionado por su prelado el limo. Sr. Obispo</t>
  </si>
  <si>
    <t>Urraza, Juan Antonio</t>
  </si>
  <si>
    <t>Juan Antonio Urraza</t>
  </si>
  <si>
    <t>arto. Quien quisiere hacerla, acuda ante el Sr. D. León de Sagasta, por la escribanía del número de D. Juan Antonio Urraza. Por providencia del Sr. D. Torquato Antonio Collado, teniente corregidor de esta villa, se vende una tierra en término del lugar de Fuencarral, donde nominan Valdesenderin, de ca</t>
  </si>
  <si>
    <t>V'idaurreta, Antonio</t>
  </si>
  <si>
    <t>Antonio V'idaurreta</t>
  </si>
  <si>
    <t>rga, vacante por premoción de D. Francisco de Paula Zapata á otra de la de Calahorra, y^renuncia de D. Antonio V'idaurreta, canónigo de la de Patencia, á quien tuvo á bien de nombrar para ella por decreto de 31 de mayo último, á D. Juan González Alonso, director espiritual del real seminario de Nobles</t>
  </si>
  <si>
    <t>V-iltaurr, Almirante</t>
  </si>
  <si>
    <t>Almirante V-iltaurr</t>
  </si>
  <si>
    <t>e ^sostuvo en las inmediaciones de la isla de Cuba con el navio francés 1úlminante ^ mandado por el Almirante V-iltaurr.ez. El choque duró 40 minutos, y la fragata perdió 13 hombres. La esauadra del Almirante Murray ha dado la vela de Portsmouth. Asimismo han calido de nuestros puertos para sus res</t>
  </si>
  <si>
    <t>Vacas Merino, Manuel</t>
  </si>
  <si>
    <t>Manuel Vacas Merino</t>
  </si>
  <si>
    <t>a lengua arábiga, asi sabia como vulgar, dedicado al Sermo. Sr. Príncipe Generalísimo Almirante por D. Manuel Vacas Merino. Lo raras que se han hecho en España las gramáticas árabes para estudiar una lengua, á quien la castellana es deudora de un grandísimo número* de voces , y de la que poseemos much</t>
  </si>
  <si>
    <t>Vaienzueia, Miguel</t>
  </si>
  <si>
    <t>Miguel Vaienzueia</t>
  </si>
  <si>
    <t>e las tripulaciones de las lanchas; habiéndose distinguido particularmente los alféreces de fragata D. Miguel Vaienzueia y D. Pedro Soldán , que mandaban 2 cañoneras , el contador D. Felipe Aro, el piloto D. Joaquín Guzman, encargado del bote de auxilio, y los patrones de las 3 lanchas. Concluida la acc</t>
  </si>
  <si>
    <t>Vaígornera, Juan</t>
  </si>
  <si>
    <t>Juan Vaígornera</t>
  </si>
  <si>
    <t>per numerario D. Manuel de Navas, y á supernumerarios á les guardias Don An tonio Uilauíi y D. Juan Vaígornera. Ei rey ss ha servido conferir en el regimiento de infantería de laR«eyna la comandancia del tercer batallón al sargento mayor del de la Princesa, graduado de teniente coronel, D.</t>
  </si>
  <si>
    <t>Val</t>
  </si>
  <si>
    <t>r su método en obsequio de los aficionados á esta clase de diversión. Ha fallecido de edad avanzada Mr. Val «ion t de Bomare; célebre naturalista, director que fue largos años del gabinete de historia natural de Chantilli, y autor de un diccionario de la misma materia, de que se han hec</t>
  </si>
  <si>
    <t>Val, Manuel María</t>
  </si>
  <si>
    <t>Manuel María Val</t>
  </si>
  <si>
    <t>a á qualquiera de dichas fincas lo practicará por la escribanía de la misma comisión, que desempeña D. Manuel María Val verde. Por providencia de D. Estéban de la Madrid y Montes, juez comisionado real en Toledo, se ha señalado el día 29 de este mes para el remate de una dehesa de pasto y labor lla</t>
  </si>
  <si>
    <t>Valcarcel, Francisco Xavier</t>
  </si>
  <si>
    <t>Francisco Xavier Valcarcel</t>
  </si>
  <si>
    <t>eral del orden de S. Bernardo*, para una canongía de la catedral de Patencia, vacante por muerte de D. Francisco Xavier Valcarcel, á D. Francisco Félix de Sanpelayo, cura párroco de la villa de Valdilecha, arzobispado dé Toledo : para la canongía de la colegiata del Salvador de la ciudad de Granada, vacante</t>
  </si>
  <si>
    <t>Valcedo, Luis</t>
  </si>
  <si>
    <t>Luis Valcedo</t>
  </si>
  <si>
    <t>res el Sr. Marques de Valera , ei Sr. D. Gaspar Morera, y el S*\ D. Mariano de Exea: secretario i.° D. Luis Valcedo, i.° D. Antonio Guijarro: procurador D. Gaspar Teruel: contadores el Sr. barón de Manuel y D. Jayme Manent: tesorero D. Pedro Bergeyre : celadores ecle« siásticos de ios exercicio</t>
  </si>
  <si>
    <t>Valdes, Juan</t>
  </si>
  <si>
    <t>Juan Valdes</t>
  </si>
  <si>
    <t>Carlos del Perote en Nueva-España , y* él'grado dé cUrónel de infantería, a D/ Juan Valdes, teniente ctírouel dél~!reaLcüér5póí¿de Artillería. REAL SOCIEDAD ECONOMICA DE MADRID. . , La -real sociedad económica de esta corte celebró junta pública general de distribución de premios</t>
  </si>
  <si>
    <t>Valencia Morales, Antonio</t>
  </si>
  <si>
    <t>Antonio Valencia Morales</t>
  </si>
  <si>
    <t>rdenalicia de la misma catedral de Orense, vacante por muerte de dicho D. Francisco Solís y Lein, ¿ D. Antonio Valencia Morales: para otra canongía de la catedral de Tudela, vacante por fallecimiento de D. Juan Artajo, á D. Toma?Xavier Labastida ; y-para una ración de la catedral da Almería, vacante por mu</t>
  </si>
  <si>
    <t>Valentín de Torres, Manuel</t>
  </si>
  <si>
    <t>Manuel Valentín de Torres</t>
  </si>
  <si>
    <t>de los vales, y no haya precedido pacto especial y exclusivo. VENTAS JUDICIALES. Por providencia de D. Manuel Valentín de Torres, juez subdelegado real en la ciudad de Guadaiaxara y pueblos de su partido para la venta de bienes eclesiásticos, se ha señalado el dia 9 del presente para ei remate de una casa-p</t>
  </si>
  <si>
    <t>Valentín de Urquizo, Joaquín</t>
  </si>
  <si>
    <t>Joaquín Valentín de Urquizo</t>
  </si>
  <si>
    <t>ervo: p2ra otra canongía'de Puerto-Rico, vacante también por fallecimiento de D. Sebastian Conde, á D. Joaquín Valentín de Urquizo, y para la radon de esteá Don Josef Antonio de Ezpeleta, teniente de cura de aqueUa catedral; finalmente ha nombrado S. M. para una ración de la metropolitana de Caracas, va* cant</t>
  </si>
  <si>
    <t>Valentín Díaz, Antonio</t>
  </si>
  <si>
    <t>Antonio Valentín Díaz</t>
  </si>
  <si>
    <t>D. Manuel Royo, D. Josef Mes, D. Bernardo Becerra, D.Josef Carrero, D. Ramón Eiroa, D. Ramón Suazo, D. Antonio Valentín Díaz, D. Josef Hordavidalnz, D. Lorenzo Cedrón, D. JuanPefundely D. Manuel Elizaicin. En geometría especulativa D. Josef Genaro Ghapley D;* Ildefonso Pozb, Don Joaquín Verástegui, D. J</t>
  </si>
  <si>
    <t>Valentín Diez, Antonio</t>
  </si>
  <si>
    <t>Antonio Valentín Diez</t>
  </si>
  <si>
    <t>la y D. Gregorio Calderón y Durango: en geometría elemental D. Josef Ordavidcluz, D. Manuel Cedrón, D. Antonio Valentín Diez, D. Josef Blan*? co Atidrade, D, Juan Perfume, D. Ramón Zuazo y el referido Soto y Parga: eri geometría práctica D. Josef Carrero, D. Manuel Royo, D. Ramón JEiroa, y los citados O</t>
  </si>
  <si>
    <t>Valentín Fons</t>
  </si>
  <si>
    <t>esidencial en la parroquia de la villa de Picra, diócesi de Barcelona» vacante por fallecimiento de D. Valentín Fons, á D. Manuel Jorba. Por fallecimiento del Sr. D. Josef Ai varea de Faria se ha servido el Rey nombrar decano del consejo supremo de Guerra al teniente general el señor marques de</t>
  </si>
  <si>
    <t>Valentín Riera</t>
  </si>
  <si>
    <t>rda, de! comercio de Valencia , g vales de 60o pesos, creación i.°de enero, endosados á los señores D. Valentín Riera y compañía, núms. 37^914, 366,964 y 366280. Quien supiere su paradero avisará en Madrid á D. Josef Antonio Martínez, en Barcelona á los expresados señores D. Valentín Riera y compañ</t>
  </si>
  <si>
    <t>Valero Gareau</t>
  </si>
  <si>
    <t>e ha servido promover en el regimiento suizo de Traxler á subteniente de granaderos al de fusileros D. Valero Gareau : en el de Betschart á capitán segundo á D. Luis Gogd, ayudante graduado de teniente coronel; á ayudante al teniente de granaderos D. Vicente Meyer; á teniente de granaderos al de</t>
  </si>
  <si>
    <t>Valero Gargalio</t>
  </si>
  <si>
    <t>á D. Joref Ferrer para un beneficio de la parroquial de Xavea, diócesis de Valencia, por muerte de D. Valero Gargalio, debe decir á D. Josef Herrero. NUÉVOS DESCUBRIMIENTOS DE BOTANICA. Los botánicos del Peiú han recibido 10 dibuxos de otras tantas especies de chichona ó de quinos de ios montes d</t>
  </si>
  <si>
    <t>Valero Gargallól El Rey</t>
  </si>
  <si>
    <t>f Ferrer para- un beneficio dé la parroquial de Jfcaveaydiócési de Vátenciá, vacante por muerte de ;D. Valero Gargallól El Rey: se ha servido conferir en el regimiento de infantería de Asturias compañía al teniente de granaderos, graduado de capitán, D. Diego Lorenzo ;-tenencias á los subtenientes \de gra</t>
  </si>
  <si>
    <t>Valero, Antonio</t>
  </si>
  <si>
    <t>Antonio Valero</t>
  </si>
  <si>
    <t>guel Gonzalo, que se admitirá siempre que llegue á la quarta parte de su remate. Per providencia de D. Antonio Valero, subdelegado en el departamento de Porcuna, juez.ccmisirnado regio para la execucion del breve de 1 2 de diciembre de 180Ó, en la diócesi de Jaén, se ha señalado el dia 3 de enero</t>
  </si>
  <si>
    <t>Valero, Joaquín</t>
  </si>
  <si>
    <t>Joaquín Valero</t>
  </si>
  <si>
    <t>iñena. D. Manuel Mancharas, en la Puebla de Montalvan. D. Matías Gregorio de Lomas, en Minglanilla. D. Joaquín Valero, en la Xara, partido de S. Clemente. D. Joaquín Fulgencio Lizoain, en Ppeote la Reyna,y otros varios apasionados de este descubrimiento. No puedo omitir tampoco entre ellos á nues</t>
  </si>
  <si>
    <t>Valero, Pedro</t>
  </si>
  <si>
    <t>Pedro Valero</t>
  </si>
  <si>
    <t>ector segundo de este real cuerpo, acompañado de los Dres. D. Josef Sobrevia, censor de la misma, y D. Pedro Valero, curador único de esta enseñanza, canónigos de la propia santa iglesia, y del secretario principal: asistiéron en calidad de examinadores los socios D. Serapio Sinues, catedrático</t>
  </si>
  <si>
    <t>Vales Asen, Francisco Xavier</t>
  </si>
  <si>
    <t>Francisco Xavier Vales Asen</t>
  </si>
  <si>
    <t>n de caridad de Madrid. — Oración es inaugurales, que en 5 y 12 de enero de 1800 dixeron los socios D. Francisco Xavier Vales Asen jo, canónigo de la real iglesia de S. Isidro, y D. Juan Crisóstomo Abadía, clérigo reglar de S. Cayetano. — Discurso que en la junta de 30 de diciembre del mismo pronunció el Excm</t>
  </si>
  <si>
    <t>Valladares de Sotomayor, Antonio</t>
  </si>
  <si>
    <t>Antonio Valladares de Sotomayor</t>
  </si>
  <si>
    <t>4 16 rs. en rústica y 20 en pasta. x La Leandra, novela original, que comprehende muchas: su autor D. Antonio Valladares de Sotomayor: tomo 9.0 Se hallará con los anteriores «1 la librería de Escribano, calle de las Carretas. = Colección de obras inéditas, eruditas, críticas, históricas y políticas de nuestros m</t>
  </si>
  <si>
    <t>Valverde, Manuel María</t>
  </si>
  <si>
    <t>Manuel María Valverde</t>
  </si>
  <si>
    <t>a á qualquiera de las expresadas fincas, lo practicará por la escribanía de la comisión, qué exercc Don Manuel María Valverde.</t>
  </si>
  <si>
    <t>75,425 rs. Quien quisiere hacer postura lo executará por la escribanía de la comisión que desempeña D. Manuel María Valverde. = Por el referido comisionado regio, y escribanía de D. Diego de la Barrera, se ha señalado el dia 30 del corriente para el remate de una casa, sita en la ciudad de Sevilla en la</t>
  </si>
  <si>
    <t>Valverdé, Manuel María</t>
  </si>
  <si>
    <t>Manuel María Valverdé</t>
  </si>
  <si>
    <t>ral que sobre sí tiene. Quien quisiere hacer postura, lo practicará por la escribanía que desempeña D. Manuel María Valverdé. ; ' AVISO.- •• En la ciudad de Ordufia se halla vacante la cátedra? ¿de i intaxis, prosodia'y rfetórica de los reales estudios, cuya dotación es 300 ducados anuales, cobrados eri</t>
  </si>
  <si>
    <t>n 76,083 rs. Quien quisiere hacer postura lo executará por la escribanía de la comisión, que ex?rce D. Manuel María Valverde. Por providencia de D. Carlos de Witte, comisionado regio para la venta de bienes eclesiá ticos en la diócesi de Badajoz,se ha señalado el 22 del corriente para el remate de una p</t>
  </si>
  <si>
    <t>Van-Hooff</t>
  </si>
  <si>
    <t>nsejero de Estado, si su salud lo permitiere. La secretaría de justicia y la de policía, que servia Mr. Van-Hooff, se ha encargado interinamente al ministro de negocios extrangeros. FRANCIA. París de mayo, DIARIO SETUAGESIMOSEXTO DEL EXERGITO GRANDE. Finckenstein 20 de mayo. La hermosa corbet</t>
  </si>
  <si>
    <t>Van-Roggen de Nimega</t>
  </si>
  <si>
    <t>s alumnos, y de la explicación que su respetable maestro dió de la teoría y práctica de su arte. El Dr. Van-Roggen de Nimega acaba de publicar una noticia circunstanciada de varias experiencias que ha hecho para examinar la virtud y eficacia de la vacuna. Todas han tenido el resultado mas feliz, y demos</t>
  </si>
  <si>
    <t>Van-Zoelen, Carlos</t>
  </si>
  <si>
    <t>Carlos Van-Zoelen</t>
  </si>
  <si>
    <t>andez, D. Manuel Abad, D. Manuel Ferrando, D. Alexandro Lagoa, D. Sebastian Fernandez de Navarrete, D. Carlos Van-Zoelen, y los caballeros seminaristas D. Luis Berganzá, D. Bonifacio Olivencia, D. Bernabé de Otalora , D. Juan de Mazarredo, D. Juaa Ortiz de Zarate, D. Juan de Abrana, D. Pedro Cendeja</t>
  </si>
  <si>
    <t>ejandro Lagoa y D. Manuel de la Cámara: ios gefes de trozo D. Manuel Ferrando , D. Josef Fernandez, D. Carlos Van-Zoelen, D. Sebastian Fernandez de Navarrete y D. Luis Berganza; y los seminaristas D. Pedro Sánchez Pavón, D. Pablo Unda, D. Bonifacio Olivencia, D. Bernabé de Otalora, D. Juan de Mazarr</t>
  </si>
  <si>
    <t>Vandamme, General</t>
  </si>
  <si>
    <t>General Vandamme</t>
  </si>
  <si>
    <t>s de infantería de los Generales Morand, Friant y Gudin,y una división de caballería mandada por el General Vandamme, y tos cuerpos de exército de los Mariscales Davoust y Augereau. El cuerpo del Mariscal Lannes cobre el ala izquierda hácia el lado de Thorn. Los cuerpos de los Mariscales Bernado</t>
  </si>
  <si>
    <t>aza á pesar de las repetidas intimaciones que se le hiciéron después de cada bombardeo, resolvió el General Vandamme dar el asalto. La noche deT 22 ai 23 de Diciembre fué señalada para la execucjon del proyecto; Pero como en las fortificaciones no se ha hecho ninguna brecha, y tienen un contrafoso</t>
  </si>
  <si>
    <t>re de 180&amp; hasta el £ de enero de /So/. Luego que la plaza de Glogau se rindió el 2 de diciembre al General Vandamme, que mandaba la división de las tropas del Rey de Wiirtemberg, recibió este General el dia 4 la orden de marchar hacia Breslau para embestir esta plaza por la orilla izquierda del</t>
  </si>
  <si>
    <t>aza'. - e f Él Príncipe Gerónimo, llamado pbr el Emperador , había entregado el tnando del sitio al General Vandamme en la orilla-izquierda del Oder, quedando en ládérécha el General Deroi. ; ; , Apénas había mandado el General Vandamme qué lás trópás Volviesen Asuspüestos , quandó el General Mont</t>
  </si>
  <si>
    <t>2 IT éiovtééüto iilas;Noticias dfcl General Vandamme-; pero á pocas horas, ia^ formado, raedor por sus espías,-pidia ua armisticio Qé 2.4 horas , y que 5a" sase c;l Coronel Dúveyrier á tratar de la capitulación, como se le,'había ofr</t>
  </si>
  <si>
    <t>Vándamme, General</t>
  </si>
  <si>
    <t>General Vándamme</t>
  </si>
  <si>
    <t>29, y tirároo constántehiente cón 4 horas de descanso después dp 3 de fuego. El .mismo dia supo el General Vándamme que el Príncipe de , Pless -se había engrosado, y qué ténia Un cuerpo de 12 á 13® hombres ; é inmediatameriéé despachó la división Minuccí á Ohlau para reforzar aquel punto, y sos</t>
  </si>
  <si>
    <t>oportuna resistencia una rica;y hermosa ciudad, que no merecía tal desgracia. ¡o- ; ^TJna carta del General Vandamme , que se ha recibido á las 9. de la noche, participa que Breslau ha Capitulado^ y que la guarnición desfilará el dia 7 , quedando prisionera de guerra, El General Pernety calcula</t>
  </si>
  <si>
    <t>Vandamne, General</t>
  </si>
  <si>
    <t>General Vandamne</t>
  </si>
  <si>
    <t>igió con las divisiones Bávaras Wrede y Deroy hácia Kaiitsch para, encontrar á los Rusos, y dexó al General Vandamne y á la división Wirtembergesa encargados dé continuar el sitio. El 29 de Noviembre llegaron mortero^ y cantidad de cañones, que fuéron inmediatamente montados: al cabo de pocas hora</t>
  </si>
  <si>
    <t>a, armas, planes y almacenes de toda especie, se entregará fielmente á los Oficiales que nombre el. General Vandamne para la toma de posesión.——iu.Ta guarnición queda prisionera de guerra; desfilará delante de los sitiadores con banderas desplegadas y mechas encendidas, y después rendirá las arm</t>
  </si>
  <si>
    <t>Vandamnec, General</t>
  </si>
  <si>
    <t>General Vandamnec</t>
  </si>
  <si>
    <t>ciudad, se les darán pasaportes----- vm. Las caxas Reales se entregarán at Oficial que nombrare el General Vandamnec dicho Oficial dará recibo, y los Magistrados serán depositarios de las cantidades pertenecientes á particulares. — rx. Se tendrá cuidado de ios heridos y enfermos. Una hora despué</t>
  </si>
  <si>
    <t>Varre</t>
  </si>
  <si>
    <t>un cofivoi numeroso. No queda ni un solo ingles en aquella ciudad. El cónsul que teníamos en ella, Mr. Varre, ha llegado ya á Londres. El Príncipe Stsremhesg, embaxador de Austria, e.*tá haciendo preparativos para restituí?se á su país; y aunque se dice que el viage no tiene mas motivo q</t>
  </si>
  <si>
    <t>Váüqueliftrindividuo del Instituto</t>
  </si>
  <si>
    <t>cilitarían Otras nuevas, y se. harían acreedores á participar del premio común." París i$ de Enero. Mr. Váüqueliftrindividuo del Instituto, y profesor de química en el museo de historia natural, habiendo analizado varias muestras de minerales de plata, que le remitiéron de España, sacadas de las minas de GuadalcaDal,</t>
  </si>
  <si>
    <t>Vauquelin</t>
  </si>
  <si>
    <t>. Esta sola consideración basta para dar á conocer toda la importancia de semejante descubrimiento. Mr. Vauquelin habia dado parte de él á laclase de ciencias matemáticas y físicas del Instituto el 17 de Noviembre, y presentado varias muestras del metal. En la junta pública, que la misma clas</t>
  </si>
  <si>
    <t>Vázquez Carril, Francisco</t>
  </si>
  <si>
    <t>Francisco Vázquez Carril</t>
  </si>
  <si>
    <t>admiten memoriales hasta el dia 20 de diciembre próximo, los que se dirigirán al procurador general D. Francisco Vázquez Carril: en ellos expondrá el pretendiente su edad, estado, y años que tiene de práctica en la medicina. A Mugardos se escribe por el Ferrol. En la ciudad de Logroño se halla establecida</t>
  </si>
  <si>
    <t>Vázquez Coronel, Ramón</t>
  </si>
  <si>
    <t>Ramón Vázquez Coronel</t>
  </si>
  <si>
    <t>iales, con relación de méritos, hasta el dia 15 del corriente, en que se ha de proveer, por mano de D. Ramón Vázquez Coronel, alcalde ordinario por el estado noble de la misma villa. IIÍROS. Los suscrifores á la obra intitulada Colección de historias interesantes y divertidas acudirán á recoger el tomo</t>
  </si>
  <si>
    <t>Vázquez del Campo, Francisco</t>
  </si>
  <si>
    <t>Francisco Vázquez del Campo</t>
  </si>
  <si>
    <t>te de D. Juan Sánchez Soriano, á D. Miguel Martínez de los Ríos; para la media ración que obtiene á D. Francisco Vázquez del Campo, cura en el arzobispado de México. También se ha dignado el Rey conferir el empleo de teniente asesor del gobierno é intendencia de la provincia del Paraguay, en el vireynato de B</t>
  </si>
  <si>
    <t>Vázquez Quevedo, Juan</t>
  </si>
  <si>
    <t>Juan Vázquez Quevedo</t>
  </si>
  <si>
    <t>y 17242. Quien supiere de su paradero, se servirá avisar al referido D. Antonio Teran, en Vigo, ó á D. Juan Vázquez Quevedo, teniente y habilitado de dicho cuerpo, en la Coruña. Para el segundo remate en esta corte de los frutos y rentas de la encomienda mayor de Montalban, orden de Santiago, que 9e ar</t>
  </si>
  <si>
    <t>Vázquez y Contreras, Antonio</t>
  </si>
  <si>
    <t>Antonio Vázquez y Contreras</t>
  </si>
  <si>
    <t>diz, por la escribanía de D. Melchor Nicolás Truxillo, penden autos sobre concurso de acreedores de D. Antonio Vázquez y Contreras, en los quales se mandó verificar ciertos pagos, baxo fianza de acreedor de mejor derecho; y en 9 de marzo próximo pasado se mandó emplazar á qualquiera que se considere con derec</t>
  </si>
  <si>
    <t>Vázquez y Ribero, Juan Antonio</t>
  </si>
  <si>
    <t>Juan Antonio Vázquez y Ribero</t>
  </si>
  <si>
    <t>e Tinajas, en la Diócesis de Cuenca, vacante pór muerte de D. Marcos Antonio Martínez de Alarcon, á D. Juan Antonio Vázquez y Ribero, Clérigo de Menores'* con la obligación que le e$ anexa de alternar por semanas con el Párroco y otro Beneficiado en la misa conventual y demas funciones eclesiásticas, excepto la</t>
  </si>
  <si>
    <t>Vázquez, Antonio</t>
  </si>
  <si>
    <t>Antonio Vázquez</t>
  </si>
  <si>
    <t>tas. Estampa nueva ovalada que representa la divina Pastora, grabada de puntos'al estilo ingles por D. Antonio Vázquez, que hace juego con ía« demas da la colección de cita clase, como son el Niño pastor, S. Juan, Magdalena &amp;c. Se hallará en las librerías de Escribano, calle de las Carretas,y en l</t>
  </si>
  <si>
    <t>demas del Ecce homo y Mater dolorosa de D. Bartolomé Vázquez , y el Cristo «h la cruz, grabado por D. Antonio Vázquez,_con otras obras de los mismos, en las librerías de Escribano, calle de las Carretas, y de Ramos t carrera de S. Gerónimo. En la librería de Campo, calle de Alcalá, se hallan las</t>
  </si>
  <si>
    <t>Vázquez, Bartolomé</t>
  </si>
  <si>
    <t>Bartolomé Vázquez</t>
  </si>
  <si>
    <t>, es sumamente expresiva y de devoción. Se hallará, con las demas del Ecce homo y Mater dolorosa de D. Bartolomé Vázquez , y el Cristo «h la cruz, grabado por D. Antonio Vázquez,_con otras obras de los mismos, en las librerías de Escribano, calle de las Carretas, y de Ramos t carrera de S. Gerónimo.</t>
  </si>
  <si>
    <t>Vázquez, Francisco</t>
  </si>
  <si>
    <t>Francisco Vázquez</t>
  </si>
  <si>
    <t>otros de no menos mérito; y todos se dan á luz en 5 tomos en 8.°, traducidos al castellanopor el P. D. Francisco Vázquez, clérigo reglar de S. Cayetano, lector de teología &amp;c., quien huyendo en su traducción del vicio demasiado general en las traducciones francesas, de seguir el genio de aquella len</t>
  </si>
  <si>
    <t>Vázquez, Juan Manuel</t>
  </si>
  <si>
    <t>Juan Manuel Vázquez</t>
  </si>
  <si>
    <t>ía de la Princesa, voluntarios de Estado y Ñápeles, tenencias á los subtenientes D. Francisco Ruiz, D. Juan Manuel Vázquez y D. Manuel Pascual Ballester; y subtenencias de bandera en el mismo de la Princesa al cadete D.-Hipólito López de Angulo, y en el de voluntarios de la Corona á D. Miguel Oyando y Tex</t>
  </si>
  <si>
    <t>Vecino, María</t>
  </si>
  <si>
    <t>María Vecino</t>
  </si>
  <si>
    <t>. Josef Escriba, D. Andrés del Val, D. Joaquín Fusell, D. Manuel Croselles, D. Juan Ribera Colechá, Doña María Vecino, Doña Manuela Taraneo, Doña Rafaela Bordenove y Doña Franca Ximenez. Continuóse publicando la adjudicación de .6 proemios ofrecidos á las escuelas y enseñanzas de la ciudad de Fel</t>
  </si>
  <si>
    <t>Veguer, Juan</t>
  </si>
  <si>
    <t>Juan Veguer</t>
  </si>
  <si>
    <t>a Princesa, graduado de teniente coronel, D. Antonio Tomás: en el de Africa#tenencia al subteniente D. Juan Veguer', y subtenencia de bandera al sargento primero de granaderos D. Matías Gallego.: en el batallón de infantería ligera de* voluntarios de Barbastro se ha servido S. M. promover á cap</t>
  </si>
  <si>
    <t>Vejarano, Julián</t>
  </si>
  <si>
    <t>Julián Vejarano</t>
  </si>
  <si>
    <t>rafía del orbe literario, ó breve descripcion.de sus principales imperios, xeynos y provincias, por D. Julián Vejarano, oficial 6° i.® de la secretaría ele Estado y del despacho de Hicienda de Indias*, un tomo en 8.° mayor. Véndese en la librería de Gómez Fuentenebro, calle de las Carretas, á 6 rs</t>
  </si>
  <si>
    <t>Vela y Olmo, Manuel</t>
  </si>
  <si>
    <t>Manuel Vela y Olmo</t>
  </si>
  <si>
    <t>Hidalgo. Moyses considerado como legislador y moralista, por Mr. de Pastorct: traducción postuma de D. Manuel Vela y Olmo. Esta obra, llena ds la erudición mas profunda y esquisita, es muy útil para los que se dedican al estudio de la sagrada escritura, y en general para todo cristiano que desee estu</t>
  </si>
  <si>
    <t>Velarde Calderón, Bernardo</t>
  </si>
  <si>
    <t>Bernardo Velarde Calderón</t>
  </si>
  <si>
    <t>uanta á D. Domingo de Arana; al mismo en el de dragones de Acari y Chala al Comandante de esquadron D. Bernardo Velarde Calderón; á Comandan^ te de las seis compañías de caballería de Santa al Teniente Coronel graduar do de Milicias D. Josef Coquet y Gallardo; y á Subteniente en el esquadron de caballería d</t>
  </si>
  <si>
    <t>Velarde y Neyra, Juan Antonio</t>
  </si>
  <si>
    <t>Juan Antonio Velarde y Neyra</t>
  </si>
  <si>
    <t>tes á los subtenientes D. Agustín Cáceres , D. Manuel Claudio Villauri, D. Mariano Gabriel Paredes, Don Juan Antonio Velarde y Neyra, D. Josef Dávila y D. Rafael Olazabal, y á subtenientes de bandera á los cadetes D. Francisco 'Olazabal y D. Josef María Martinez Orihuela. En el de caballería también disciplinad</t>
  </si>
  <si>
    <t>Velarde, Rafael</t>
  </si>
  <si>
    <t>Rafael Velarde</t>
  </si>
  <si>
    <t>udiencia del Sr. D. Torquato Antonio Collado, teniente corregidor de esta villa. Por providencia de D. Rafael Velarde, juez comisionado para la venta de bienes eclesiásticos en la diócesi de Urgel, se ha señalado el dia 15 de julio próximo para el remate de las dos heredades siguientes : una comp</t>
  </si>
  <si>
    <t>Velasco, Diego</t>
  </si>
  <si>
    <t>Diego Velasco</t>
  </si>
  <si>
    <t>ntienen los mas célebres descubrimientos modernos, compuesto para el uso de los reales colegios por D. Diego Velasco, ayudante consultor del exército, y maestro del real colegio de cirugía de Barcelona, y D.FranciscoVillaverde, ayudante de cirujano mayor de la real armada, y maestro del real col</t>
  </si>
  <si>
    <t>Velasco, Miguel</t>
  </si>
  <si>
    <t>Miguel Velasco</t>
  </si>
  <si>
    <t>M. se ha dignado conceder Ayudantías en ei Regimiento de caballería de la; Re y na á los Tenientes D. Miguel Velasco y D.Bartolomé Lebrón ; y en los de dragones del Rey y húsares de María Luisa empleos de" Alférez al Portaguión D. Diego González Carboncll, y al Cadete D. Gabriel Lobo. En América. El</t>
  </si>
  <si>
    <t>Velazquez, Francisco Xavier</t>
  </si>
  <si>
    <t>Francisco Xavier Velazquez</t>
  </si>
  <si>
    <t>servido conceder la tenencia de la compañía de dragones veteranos de Chiloe al alférez de la misma D. Francisco Xavier Velazquez; esta resulta al cadete D. Juan Antonio Velazquez, y subtenencia en las compañías veteranas de infantería de la misma provincia * al cadete D. Pedro Andrade. A las 9 de la mañana</t>
  </si>
  <si>
    <t>Velazquez, Juan Antonio</t>
  </si>
  <si>
    <t>Juan Antonio Velazquez</t>
  </si>
  <si>
    <t>es veteranos de Chiloe al alférez de la misma D. Francisco Xavier Velazquez; esta resulta al cadete D. Juan Antonio Velazquez, y subtenencia en las compañías veteranas de infantería de la misma provincia * al cadete D. Pedro Andrade. A las 9 de la mañana del 10 del presente mes, como ya estaba anunciado</t>
  </si>
  <si>
    <t>Velez, Juan Francisco</t>
  </si>
  <si>
    <t>Juan Francisco Velez</t>
  </si>
  <si>
    <t>sentes eran D Manuel Josef Aguirre, vecino de Laredo, D. Lorenzo Ilisarri, de Toledo, y de Colmenar D. Juan Francisco Velez, D. Francisco Galan, Francisco González, y otros diferentes vecinos, á quienes con esta misma expresión declaró el concursante. Se desea saber quienes sean los herederos de Serafí</t>
  </si>
  <si>
    <t>Venancio de Mintegur</t>
  </si>
  <si>
    <t>n 8 rs. diarios, pagados en metálico per tos patronos. Las pretendientas dirigirán sus memoriales á D. Venancio de Mintegur, alcalde y juez ordinario de dicha villa, para mediados de julio próximo, presentándose las mismas, para ser examinadas* La elección se verificará el dia 16 de agosto^ IIBROS. Mem</t>
  </si>
  <si>
    <t>Venero y Ley, Carlos</t>
  </si>
  <si>
    <t>Carlos Venero y Ley</t>
  </si>
  <si>
    <t>30 del presente para el remate de las fincas siguientes sitas en el lugar de las Rozas. Memoria de D. Carlos Venero y Ley va Una casa-meson, á la entrada del pueblo, por la parte de Madrid, tasada en 19,438 rs.: otra casa-bodega, en ¡a plazuela de dicho pueblo, en 7413: una tierra frontera, junto á l</t>
  </si>
  <si>
    <t>Verástegui, Joaquín</t>
  </si>
  <si>
    <t>Joaquín Verástegui</t>
  </si>
  <si>
    <t>efundely D. Manuel Elizaicin. En geometría especulativa D. Josef Genaro Ghapley D;* Ildefonso Pozb, Don Joaquín Verástegui, D. Josef Natfarfete , Dr Joaquín Fernandez Fragua* y los dichos Royo, Mes, Becerra* Carrero y Eirea. En geometría práctica D. Josef Demblans y los citados Fragua, Ghaple, Pozo ,</t>
  </si>
  <si>
    <t>Verd y Rcguis, Manuel</t>
  </si>
  <si>
    <t>Manuel Verd y Rcguis</t>
  </si>
  <si>
    <t>al de S. Andrés de Tona, diócesi de Vich, vacante por fallecimiento de Don Francisco Traserra ; y á D. Manuel Verd y Rcguis para una cancngía de la catedral de Mallorca', vacante por fallecimiento de D. josef Quadradc. En la compañía Italiana de reales guardias de Corps ha promovido el Rey á cadete de</t>
  </si>
  <si>
    <t>Verd, Manuel</t>
  </si>
  <si>
    <t>Manuel Verd</t>
  </si>
  <si>
    <t>lanías menores del real palacio de la ciudad de Palma, rey no de Mallorca, vacante por promoción de D. Manuel Verd á canongía de aquella catedral. En el real cuerpo de ingenieros del exército se ha servido S. M. promover 2 mariscal de campo al brigadier y director subinspector D. Josef del Poz</t>
  </si>
  <si>
    <t>Verdugo, Manuel</t>
  </si>
  <si>
    <t>Manuel Verdugo</t>
  </si>
  <si>
    <t>Sr. D. Luis;dé. lá Encina pobispo electo de Arequipa, habiendo sido ¡su consagrante, elk limo. Sr. D. Manuel Verdugo, ' obispo de aquellas islas, asistentes ios SresV D. Miguel Mariano de Toledo,</t>
  </si>
  <si>
    <t>Verna, Domingo</t>
  </si>
  <si>
    <t>Domingo Verna</t>
  </si>
  <si>
    <t>er á subtenientes de las compañías fixas de artilleros veteranos en el departamento de la Ilavana á D. Domingo Verna, D. f rancisco Xavier Yerna y D. Josef Cabrera: en el de Goatemala á D. Josef</t>
  </si>
  <si>
    <t>Vernet</t>
  </si>
  <si>
    <t>un tomo en fi.° —Diálogos socrático», ó conversaciones sobre varios asuntos morales, compuestos por Mr. Vernet para la instrucción del Príncipe de Saxonia-Gota; traducidos al castellano por D. Manuel Ros de Medrano*. un tomo en 8.° Se hallarán en la librería de Munita, calle de las Carreta</t>
  </si>
  <si>
    <t>Very</t>
  </si>
  <si>
    <t>ar con su presencia esta fiesta. Ya se ha preparado para recibir á S. A. la habitación principal de Mr. Very, desde donde podrán disfrutar perfectamente de la vista de la iluminación, para la qual no se ha perdonado gasto alguno. •: , Mr. Knobelsdorf, general de S. M. prusiana, está en c</t>
  </si>
  <si>
    <t>Vi, Príncipe</t>
  </si>
  <si>
    <t>Príncipe Vi</t>
  </si>
  <si>
    <t>• i'09 * S. A. 1/el "Príncipe Vi rey, por tina résólucton .de 2f de Diciembre, con fecha de. Verona;. ha aprobado el plan de, constitución judicial interino, que ha propuesto el Proveedor general de Dalmacia para</t>
  </si>
  <si>
    <t>ión inglesa que cruzaba á vista del puerto. El coronel de ingenieros Sorbier, edecán de $. A. I. el Príncipe Vi^ rey de Italia, ha llegado á Milán el 5 del corriente de vuelta de Constantinopla, adonde habia ido con una comisión. El Emperador de todas las Rusias ha enviado á Mr. Delancour,</t>
  </si>
  <si>
    <t>Vicenta</t>
  </si>
  <si>
    <t>eratura le amaban por sus apreciables qualkfades. que han hecho gene* raímente sentida su muerte. A Doña Vicenta.Bedov a , vecjnM .de Ja ciu:.&lt;id iit Patencia,. se iia extraviado un vale real de 150 pesos de la creación de i.° de enero, renovado á su favor en la de 1806, núm. 28R359; y r»o h</t>
  </si>
  <si>
    <t>Vicenta Bedoya</t>
  </si>
  <si>
    <t>r»o habiendo podido averiguar su paradero, quien supiere de é¡ avisará en Palericia á la insinuada Doña Vicenta Bedoya, ó en Madrid á D. Juan Ruiz D.ívila, que vive en la plazuela del Angel, núm. 18. La dehesa de pasto y labor intitulada Alcálvin baxo, tasada en 725,332 rs., ha sido rematada en el</t>
  </si>
  <si>
    <t>Vicer</t>
  </si>
  <si>
    <t>1263 la comisión D. Vicer.te Maté; en la inteligencia de que se celebrará su remate el dia 20 del presente en las casa:* de ayuntamiento de la ciudad de Falencia. AVISOS. Para el remate de los frutos y ren</t>
  </si>
  <si>
    <t>Vicerite Domínguez de Prado</t>
  </si>
  <si>
    <t>y contrabandistas. JEn atención á los dilatados y apreciables servicios del intendente de exército D. Vicerite Domínguez de Prado, intendente de provincia de Toledo, y á I2S circunstancias de su nieto D. Joaquín de Arevalo y Domínguez, ha venido el Rey en conceder á este plaza supernumeraria de ministro del</t>
  </si>
  <si>
    <t>Víctor de la Guardia y Ayala</t>
  </si>
  <si>
    <t>zón; y la Alcaldía mayor de la ciudad de Nata y villa de los Santos ,, en la provincia de Panamá* á D. Víctor de la Guardia y Ayala. Finalmente ha nombrado el Rey para la plaza de Oficial mayor de la Secretaría del Consejo y Cámara de Indias , por lo tocante al departamento del Perú, que .vacó por fallecimient</t>
  </si>
  <si>
    <t>Víctor Duro</t>
  </si>
  <si>
    <t>no y Marroco , D. Santiago Piñeyro de las Cafas y Malignado», D. Juan de Mata Marina Arnaiz y León, D. Víctor Duro.Saenz y Solano, D. Fernando Ruiz Lorenzo y^Ruiz, D. Francisco Brias Aguilera y Ulloa, D. Josef Betbecé Llano y Marroco, D. Fulgencio de Toro Suarez y Figueroa, D. Andrés Costa y,</t>
  </si>
  <si>
    <t>niente de artilleros á caballo del primer regimiento al subteniente de á pie del propio real cuerpo D. Víctor Duro. En América. El Rey se ha servido nombrar para la dignidad de chantre de la catedral de Sta. Marta, vacante por fallecimiento de D, Josef Troytiño, á D. Gregorio de la Bastida; y</t>
  </si>
  <si>
    <t>Víctor Josef Tonier</t>
  </si>
  <si>
    <t>on; y para una canongía de la colegial de Antequera, en la diócesi de Málaga, vacante por muerte de D. Víctor Josef Tonier, á D. Matías de Hita. Él Rey se ha servido conferir en el regimiento de infantería de Hibernia compañía al teniente, graduado de capitán, D. Josef Fiñon, y en el del Príncipe tene</t>
  </si>
  <si>
    <t>Víctor Navarro, Juan</t>
  </si>
  <si>
    <t>Juan Víctor Navarro</t>
  </si>
  <si>
    <t>islas Canarias. Asimismo ha nombrado S. M. para la vara de Alcaldes mayor de'la villa' de Morella á D. Juan Víctor Navarro. : S. M., á consulta de los Señores del real y supremo Consejo de Castilla, se ha dignado conceder real facultad á la villa de Maranchon, en la provincia de Guadalaxara, para que</t>
  </si>
  <si>
    <t>érmino y año mas de próroga en ella, que tuve á bien conceder á D. Juan Bautista Alberola, nombro á D. Juan Víctor Navarro.” S. M. se ha servido nombrar para una canongía de la metropolitana de Zaragoza, vacante por muerte de D. Pedro Alonso de la Vega, á D. Ramón María Sevillano, oidor de la audienci</t>
  </si>
  <si>
    <t>Víctor, General</t>
  </si>
  <si>
    <t>General Víctor</t>
  </si>
  <si>
    <t>en aquella'plaza, y, sin detenerle, emprenderá el sitio de Brieg,- Sehweidnifz y-Kosel. \ '■ - •El General Víctor, Comandante del io.° cuerpo de exército, va ya marchando para sitiar á Colberg y DanízicJc, y-tomar estas plazas, en lo que queda del invierno.- » ■' . * [ Luego que .ha llegado á</t>
  </si>
  <si>
    <t>erto la trinche* ra; y los sitios de Schweidnitz y Neisse se están haciendo á un mismo tiempo. ^ Él General Víctor, que iba en coche á Stettin con su edecán y un criado, ha sido-hecho prisionero por una partida de 25 cazadores que corrían el país. £1 tiempo se ha puesto frío, y es probable que</t>
  </si>
  <si>
    <t>Victoria de Pazos, María</t>
  </si>
  <si>
    <t>María Victoria de Pazos</t>
  </si>
  <si>
    <t>e existe dentro de la casa de los reales consejos. A conseqíisncia del fallecimiento abintestato de Doña María Victoria de Pazos, muger que fue de D. Martin de Arandia, vecino de esta corte,se han formado autos por el juzgado del Sr. D. Antonio Cano Manuel,alcalde de casa y corte, y escribanía de D. Julián</t>
  </si>
  <si>
    <t>Vídanrre, Diego</t>
  </si>
  <si>
    <t>Diego Vídanrre</t>
  </si>
  <si>
    <t>te de D. Diego Vídanrre, á D. Josef Rafael Rodrigue* , cura de la Caridad de dicha ciudad de Comayagua; y para dos medias-raciones de la de Guadalaxara, vacantes por ascenso de D. Josef Manuel Sanmartín</t>
  </si>
  <si>
    <t>Vidaurreta, Antonio</t>
  </si>
  <si>
    <t>Antonio Vidaurreta</t>
  </si>
  <si>
    <t>la catedral de As torga, vacante por promoción de D; Francisco Zapata á otra de la de Calahorra, á D. Antonio Vidaurreta, canónigo de la dePalencia: para la mediaración déla catedral de Cartagena, vacante por. muerte-de D. Sebastian Caballero, á D. Domingo Miguel Diez: para la ración de Antequera, e</t>
  </si>
  <si>
    <t>aquel tribunal: para la canongía que se halla vacante en la. catedral de Patencia, por premoción de D. Antonio Vidaurreta á otra</t>
  </si>
  <si>
    <t>4 de junio siguiente para la de Falencia , que debió; resultar vacante por la referida promoción de D. Antonio Vidaurreta: para la media-ración de la metropolitana de Sevilla, vacante por fallecimiento de D. Josef Aniceto Tello, á D. Francisco de Paula Espinosa: para la capellanía de Reyes Nuevos de</t>
  </si>
  <si>
    <t>Viguier, Juan</t>
  </si>
  <si>
    <t>Juan Viguier</t>
  </si>
  <si>
    <t>scuelas igual número de dotes de á 50 ducados, que se sortearon entre las niñas mas adelantadas.----D. Juan Viguier, maestro de la academia de lengua francesa establecida por la sociedad, presentó 6 de sus mas adelantados discípulos, los quales fuéron examinados dé todas las partes de la gramát</t>
  </si>
  <si>
    <t>Viharejo, Carlos</t>
  </si>
  <si>
    <t>Carlos Viharejo</t>
  </si>
  <si>
    <t>imiento de infantería de Mallorca se ho. servido el rey promover á subteniente de bandera al cadete D. Carlos Viharejo ; y á capítan segundo en el batallón de voluntarios de Valencia al teniente D. Manuel Reig: en el de Zamora tenencia al subteniente D. Juan López, y subtenencia de bandera al sarg</t>
  </si>
  <si>
    <t>Viiiava, Joaquín</t>
  </si>
  <si>
    <t>Joaquín Viiiava</t>
  </si>
  <si>
    <t>vaó instantánea, y concluyó indicando los medios de resolver tan interesante qiiestion. Terminó D. Joaquín Viiiava íes exerclcios en la parte metafísica de la artillería, queriendo sujetar á principios ciertos la construcción de cartuchos de metralla: impugnó los usados hasta el dia, hacienda</t>
  </si>
  <si>
    <t>Viilamil, Diego</t>
  </si>
  <si>
    <t>Diego Viilamil</t>
  </si>
  <si>
    <t>eta y D. Manuel Conde, y al Soldado distinguido D.Juan de Dios Oiigos; y á Subteniente de bandera á D. Diego Viilamil, vecino de la jurisdicción del mismo cuerpo: en Jos cuerpos de Milicias urbanas del Reyno del Perú á Coronel del de infantería de Moquegua al Sargento mayor D. Gregorio Alarcon y</t>
  </si>
  <si>
    <t>Viiluela, Benito</t>
  </si>
  <si>
    <t>Benito Viiluela</t>
  </si>
  <si>
    <t>vincial de Valladolid D. Jacobo Blanco; y subtenencias de bandera al sargento primero de granaderos D. Benito Viiluela, y al cadete D. Félix Francisco Camarasa. También se ha servido el Rey conceder en el batallón de infantería ligera de voluntarios de Barbastro tenencia al subteniente D. Ignacio</t>
  </si>
  <si>
    <t>Vila y Camps, Antonio</t>
  </si>
  <si>
    <t>Antonio Vila y Camps</t>
  </si>
  <si>
    <t>I322 por fallecimiento de D. Antonio Vila y Camps, á Fr. Joaquín González deTerars, secretario general dei orden de dominicos y provincial de Tierra santa: para el de Barcelona, vacante por muerte del Rev. D. Pedro Díaz de Valdé;</t>
  </si>
  <si>
    <t>Vilana, Antonio</t>
  </si>
  <si>
    <t>Antonio Vilana</t>
  </si>
  <si>
    <t>e: á D. Francisco Gali para un beneñcio residencial de la catedral de Urgel, vacante por ascenso de D. Antonio Vilana á canongía de la colegiata de Guisona, en aquella diócesi: á D. Francisco Guardia para el beneficio residencial de la parroquial de Prats del Rey, diócesi de Vich, vacante por pro</t>
  </si>
  <si>
    <t>Vilar, Pablo</t>
  </si>
  <si>
    <t>Pablo Vilar</t>
  </si>
  <si>
    <t>lorido primorosamente, alusivo al Estado, y al Serenísimo Señor Príncipe Generalísimo Almirante:. á D. Pablo Vilar se le adjudicó el segundo* de 200 rs. vn., por los países de marina y ñores coloridas: el tercero, de 150 rs. vn,, á D. Miguel Curos, por algunos grupos de flores también colorida</t>
  </si>
  <si>
    <t>Vilaseca y Auge, Antonio</t>
  </si>
  <si>
    <t>Antonio Vilaseca y Auge</t>
  </si>
  <si>
    <t>Tromsdorff, profesor de química y farmacia; traducido del francés por el Dr. D. Antonio Vilaseca y Auge, médico de numero de los reales exércitos de S. M. Católica, é ilustrado y aumentado con nuevos artículos de los medicamentos mas interesantes y usados en España , y arreglado á los conoc</t>
  </si>
  <si>
    <t>Villacampa, Pedro</t>
  </si>
  <si>
    <t>Pedro Villacampa</t>
  </si>
  <si>
    <t>poz y al segundo ayudante D. Vicente Ricafort; á segundo ayudante al teniente, graduado de capitán, D. Pedro Villacampa; á tenientes á los subtenientes D. Miguel Fraxno y Díaz y D. Juan Fraxno y Diaz, y i subtenientes á los cadetes D. Manuel Latre y D. Francisco Sánchez Muñoz y Amat. En el regimien</t>
  </si>
  <si>
    <t>Villajuana, Alexandro</t>
  </si>
  <si>
    <t>Alexandro Villajuana</t>
  </si>
  <si>
    <t>isión de milircias de pardos de la misma plaza; para esta resulta ál capitán graduado de infantería D. Alexandro Villajuana, y para la ayudantía que este dexa en la plana mayor de blancos, agregada á la misma división de pardos, á Don Juan Manuel Calderón, subteniente del batallón de Castilla ñxo de Ca</t>
  </si>
  <si>
    <t>Villalba y Figueroa, Nicolás</t>
  </si>
  <si>
    <t>Nicolás Villalba y Figueroa</t>
  </si>
  <si>
    <t>cultor acreditado en Tolosa. ' . ESPAÑA. Madrid 2 6 de febrero. En consideración á los servicios de D. Nicolás Villalba y Figueroa, Capellán del regimiento de caballería de Borbon, y conforme al reglamento de 30 de enero de 1804, ha venido el Rey en nombrarle para una Ración, que en la catedral de Patencia ha</t>
  </si>
  <si>
    <t>Villamil, Antonio</t>
  </si>
  <si>
    <t>Antonio Villamil</t>
  </si>
  <si>
    <t>o se ha servido S. M. promover á teniente coronel al sargento mayor, graduado de ten lente coronel, D. Antonio Villamil; á sargento mayor al capitán de granaderos D. Ignacio de Mora; á teniente ¿1 subteniente de granaderos D. Josef Barreyro; á subteniente de granaderos al de fusileros D. Marcos Quí</t>
  </si>
  <si>
    <t>Villanueva, Esteban</t>
  </si>
  <si>
    <t>Esteban Villanueva</t>
  </si>
  <si>
    <t>ente al alférez D. Ramón Terreros; á alférez al portaguión D. Mannel de la Torre , y á portaguión á D. Esteban Villanueva, vecino de la demarcación del regimiento. En cumplimiento de lo mandado por S. M. en real pragmática-sanción de 30 de agosto de i8oq, desde i.°de diciembre próximo hasta 31 de ene</t>
  </si>
  <si>
    <t>Villanueva, Joaquín Lorenzo</t>
  </si>
  <si>
    <t>Joaquín Lorenzo Villanueva</t>
  </si>
  <si>
    <t>llo, frente á S. Felipe el Real, y de Perez, calle de las Carretas. El Kempis de los literatos, por D. Joaquín Lorenzo Villanueva, capellán de honor y predicador de S. M., y penitenciario de su real capilla: un tomo en 8.° Notorio es cl-interes que tiene el estado en que las personas que por su carrera ó por</t>
  </si>
  <si>
    <t>Villar y Vareta, Pedro</t>
  </si>
  <si>
    <t>Pedro Villar y Vareta</t>
  </si>
  <si>
    <t>I03I dragones de la Reyna; á D. Pedro Villar y Vareta, comisionado por el ayuntamiento de la ciudad de la Coruña; á D. Francisco de Paula Seler, regidor de la ciudad de Alicante, comisionado por la misma; á D. Francisco de Borja Sánc</t>
  </si>
  <si>
    <t>Villauri, Manuel Claudio</t>
  </si>
  <si>
    <t>Manuel Claudio Villauri</t>
  </si>
  <si>
    <t>nientes D. Mariano Ampuero y D. Leonardo Arbe ; á tenientes á los subtenientes D. Agustín Cáceres , D. Manuel Claudio Villauri, D. Mariano Gabriel Paredes, Don Juan Antonio Velarde y Neyra, D. Josef Dávila y D. Rafael Olazabal, y á subtenientes de bandera á los cadetes D. Francisco 'Olazabal y D. Josef Ma</t>
  </si>
  <si>
    <t>Villuendas, Francisco</t>
  </si>
  <si>
    <t>Francisco Villuendas</t>
  </si>
  <si>
    <t>ado de Oviedo, vacante por promoción de D. Juan Alonso Gorjon al deanato de la catedral de Avila, á D. Francisco Villuendas, teniente-sochantre de la capilla real; y para el préstamo beneficio simple de la parroquia de Sotoavellanos, en el arzobispado de Burgos, vacante por haber contraido matrimonio D</t>
  </si>
  <si>
    <t>Vincent</t>
  </si>
  <si>
    <t>e la muralla principal de Castell, se cederá el demas terreno que se necesite. El general austríaco Mr. Vincent, que se hallaba hacia mucho tiempo en él quartel general del Emperador de les franceses en Polonia, ha vuelto á Viena. Escriben de Venecia que el coronel Foy, comandante de la art</t>
  </si>
  <si>
    <t>Viniegra, Luis</t>
  </si>
  <si>
    <t>Luis Viniegra</t>
  </si>
  <si>
    <t>l regimiento de infantería del Príncipe se ha servido S. M. promover á Tenientes á los Subtenientes D. Luis Viniegra y D. Higinio García de Borunda: en el de Cantabria Tenencia al Subteniente de granaderos D. Francisco Angel Aparicio; y en eL de América Subtenencia de bandera al Cadete D. Josef Mora</t>
  </si>
  <si>
    <t>Virey, Príncipe</t>
  </si>
  <si>
    <t>Príncipe Virey</t>
  </si>
  <si>
    <t>ldini, ministro y secretario de Estado, salió de Bolonia para París el 6 del corriente. S. A. I. el Príncipe Virey, por un decreto de julio próximo pagado, ha reunido en una sola administración todas las d*e los hospitales, casas de huérfanos y demas establecimientos piadosos de Bolonia. Esta</t>
  </si>
  <si>
    <t>de los decretos imperiales relativos á la prohibición de efectos y mercancías inglesas, S. A* I. el Príncipe Virey ha mandado que se pase á reconocer todos los géneros existentes en las aduanas y almacenes públicos, igualmente que en las tiendas y depósitos particulares. Las mercaderías que de</t>
  </si>
  <si>
    <t>noviembre. S. M. el Emperador llegó á esta capital quando nadie le aguardaba. ¿Al primer anuncio el Príncipe Virey montó á toda priesa á caballo para salir ;á ¡recibir á M. A un quarto de legua de Milán encontró ai Emperador, que; le hizo entrar en su coche. La noche siguiente estuvo iluminada</t>
  </si>
  <si>
    <t>s varias personas de distinción naturales y extrangeras. A las 4 de la tarde S. M. y acompañado del Príncipe Virey, fue á Monza á ver á la Vireyna, y por la noche asistió al teatro real de la Scala, donde fue recibido con los mayores aplausos. Hoy por la mañana ha salido S. M. paraVenecia por</t>
  </si>
  <si>
    <t>Vireyna, Princesa</t>
  </si>
  <si>
    <t>Princesa Vireyna</t>
  </si>
  <si>
    <t>asistido de varios obispos. En seguida S. M. pasó revista á las tropas, fue á Monza á visitar á la Princesa Vireyna, y se volvió á comer á Milán. Por la noche estuvo en el teatro de la Scala, donde fue recibido con repetidos vivas y aclamaciones. Ayer salió S. M. á caballo, acompañado del Prínc</t>
  </si>
  <si>
    <t>Virto de Vera, Benito</t>
  </si>
  <si>
    <t>Benito Virto de Vera</t>
  </si>
  <si>
    <t>erencia del cultivo de unas respecto de otras en las diversas calidades de terrenos.___En el dia 14 D. Benito Virto de Vera sobre las calidades de las tierras, consideradas no solo físicamente, sino también según las describen los químicos modernos mas acreditados; y según estos últimos conocimientos d</t>
  </si>
  <si>
    <t>Viten, Domingo</t>
  </si>
  <si>
    <t>Domingo Viten</t>
  </si>
  <si>
    <t>nadas de S. Salvador, en el reyno de Goatemala, se ha servido el rey promover á capitán al teniente D. Domingo Viten; á teniente al alférez D. Manuel Novales ; á alférez al portaguión D. Santiago Rosi, y á esta resulta á D. Pedro Martínez Delgado , vecino de la jurisdicción del mismo cuerpo. En</t>
  </si>
  <si>
    <t>Vitlároel, Francisco</t>
  </si>
  <si>
    <t>Francisco Vitlároel</t>
  </si>
  <si>
    <t>y director subinspector D. Josef del Pozo y Sucre : á director subinspector al brigadier y coronel D. Francisco Vitlároel, y á coronel al teniente coronel D. Melchor de Gerona. El Rey se ha servido concedeT en el regimiento de infantería de Málaga ayudantía al teniente de g anaderos D. Vicente Hernán</t>
  </si>
  <si>
    <t>Vitoria</t>
  </si>
  <si>
    <t>2, endosado a favor de D. Bernardo Rodríguez; y el segundo de 150, num. 144Ó80, endosado a favor dé Doña Vitoria,Ugarte*,Quien supiere su paradero, se servirá avisar en. la calle de Atocha, 'casá* tabernafren te del parador del Sol, nám. 5.</t>
  </si>
  <si>
    <t>Viüavicencio, Manuel</t>
  </si>
  <si>
    <t>Manuel Viüavicencio</t>
  </si>
  <si>
    <t>o Lasala, D. Antonio Leal de Ibarra, el de fragata D. Benito Correa, y el alférez de la misma clase D. Manuel Viüavicencio, y 5 oficiales mas de los otros cuerpos. El comandante Concha recibió un balazo en el sombrero, y una contusión en la espalda dé otro de rebote *, habiendo perdido mas de 200 homb</t>
  </si>
  <si>
    <t>Vivas, Lucas</t>
  </si>
  <si>
    <t>Lucas Vivas</t>
  </si>
  <si>
    <t>licias disciplinadas de caballería de la frontera de Buenos-Ayres: jfn?do -de capitán de milicias á D. Lucas Vivas, teniente del regimiento de milicias disciplinadas de caballería de Buenos-Ayres: grados de tenientes de exércitó á D. Josef Elorga, subteniente del regimiento de infantería de Be</t>
  </si>
  <si>
    <t>Vivero, Juan Felipe</t>
  </si>
  <si>
    <t>Juan Felipe Vivero</t>
  </si>
  <si>
    <t>solicitud ni reclamación del tiempo anterior al citado año de 1796. S. M. se ha dignado conceder á D. Juan Felipe Vivero privilegio exclusivo por 10 años relativo al uso y establecimiento de una máquina hidráulica para subir el agua á grandes alturas.».Dicha máquina obra por sí «ola en las corriente</t>
  </si>
  <si>
    <t>Vives, Juan Francisco</t>
  </si>
  <si>
    <t>Juan Francisco Vives</t>
  </si>
  <si>
    <t>servido conferir la comandancia del primer batallón de voluntarios de Cataluña ai teniente coronel D. Juan Francisco Vives, sargento mayor del mismo cuerpo; y la subtenencia de bandera del segundo de Cataluña al cadete D. Mariano Moxo. En el regimiento de caballería del Infante se ha servido S. M. con</t>
  </si>
  <si>
    <t>VLconti</t>
  </si>
  <si>
    <t>bién una gran porción de objetos preciosos, entre ellos una colección de 6 á 7© medallas de bronce. Mr. VLconti está trabajando en su clasificación, y luego que la concluya, es regular que el público disfrute de estas nuevas riquezas, como asimismo de los píanos de la Suiza en relieve , que h</t>
  </si>
  <si>
    <t>Volkonski, Príncipe</t>
  </si>
  <si>
    <t>Príncipe Volkonski</t>
  </si>
  <si>
    <t>EMANIA. Viena 29 de julio» ■ ■ La gazeta ministerial contiene el artículo siguiente de Turquía: „EI Príncipe Volkonski &gt; acompañado de umeoronel francés, llegó desde Tilsit al campo del general Michelson, delante de Ismail, para anunciarle el armisticio hecho entre rusos y franceses. Después conti</t>
  </si>
  <si>
    <t>VVensursky</t>
  </si>
  <si>
    <t>ienta. Una comisión militar, nombrada por el príncipe Gerónimo, ha condenado á muerte al abanderado Mr. VVensursky, del regimiento prusiano de Alvensleben, convencido de haber quebrantado su palabra de honor sirviendo contra los franceses sin estar cangeado. Greifswald íj de marzo. Los primero</t>
  </si>
  <si>
    <t>VVhitbread</t>
  </si>
  <si>
    <t>nes que necesitan. GRAN BRETAÑA. Londres 22 de julio. Cántara (fe los comunes. Sesión del de julio. Mr. VVhitbread hizo la propuesta que había anunciado acerca de la situación del reyno. „La propuesta que voy á hacer, dixo, es de tal naturaleza, que debe dar á esta discusión toda la gravedad q</t>
  </si>
  <si>
    <t>esa. La cámara pasó á la votación, y fue desechada la propuesta del lord Cochrane. • Sesión del 13. Mr. VVhitbread presentó un bitl di igido á fomentar la industria de las clases trabajadoras, y á mej orar las leyes concernientes á los pobres. En seguida habló de la crítica situación en que se</t>
  </si>
  <si>
    <t>VVilberforce</t>
  </si>
  <si>
    <t>s no pudieron despachar una expedición al continente en el espació de 10 meses. En la sesión del 29 Mr. VVilberforce pidió se leyese la resolución tomada por la cámara el 9 de mayo ultimo sobre el comercio de neg os. Contestó !eí lord;Howick que no estaba en regla el tratar de un asunto que se e</t>
  </si>
  <si>
    <t>Wardenburg</t>
  </si>
  <si>
    <t>o de 1789 hasta el presente. Escriben de Flesinga, con fecha de 2 de noviembre, que habiendo sabido Mr. Wardenburg, primer teniente de ia marina real, que el temporal había arrojado á un buque ingles entre los arrecifes de la costa, salió con dos embarcaciones pequeñas, y se apoderó de él. Se</t>
  </si>
  <si>
    <t>Wenceslao Colloredo, Conde</t>
  </si>
  <si>
    <t>Conde Wenceslao Colloredo</t>
  </si>
  <si>
    <t>tes soldados con la medalla. Habiéndose concluido el proceso del general Mack, ha vuelto á Viena el Conde Wenceslao Colloredo, quien prestó juramento el dia 18 en manos del Emperador, como presidente del consejo de Guerra. El embaxador de Persia, que marchó de aquí hace algún tiempo, ha regresado ahora,</t>
  </si>
  <si>
    <t>Whiibread</t>
  </si>
  <si>
    <t>hacen; quieren absolutamente salvar la patria á su modo.” Por último concluyó desaprobando el bibL Mr. Whiibread se opuso también á la segunda lectura del bilí, y entró en largos pormenores sobre ios inconvenientes que presenta: observó, y con razón, qüe es cosa muy singular y sensible el qu</t>
  </si>
  <si>
    <t>Whitbr</t>
  </si>
  <si>
    <t>ne con tantas apariencias de justa y humana producirá un efecto absolutamente contrario al intento. Mr. Whitbr?ad extrañó que se hagan reparos contra un proyecto evidentemente justo y aun útil: recordó que Mr. Pitt había en otro tiempo demostrado palpablemente que la Inglaterra ganaría muc</t>
  </si>
  <si>
    <t>Whitbread</t>
  </si>
  <si>
    <t>mejor á las asambleas de esr tas; y sé establecerá un sistema nuevo en los talleres de caridad.' ■ Mr. Whitbread concluyó su eloqiiente discurso, pidiendo se le permhf tiese presentar un bilí, dirigido á fomentar la industria en las clases trabaja.doras de la,sociedad, á socorrer con mas uti</t>
  </si>
  <si>
    <t>momentáneas, en vez de adoptar una qué pueda tener efectos pern anentes para la defensa del reyno. Mr. Whitbread no cree verosímil que el Emperador de los franceses piense llevar á debido efecto inmediatamente sus amenazas; y si acaso lo pierna, el bilí propuesto no llena el objeto que se in</t>
  </si>
  <si>
    <t>apartado los obstáculos que inhabilitan á los católícospara ocupar ciertos empleos en el exército. Mr. Whitbread concluyó sn discurso exponiendo sus deseos de que los ministros actuales no dexen perder qualquier ocasión que se presente para hacer ó admitir proposiciones de paa con la Francia</t>
  </si>
  <si>
    <t>Whitelocke, Juan</t>
  </si>
  <si>
    <t>Juan Whitelocke</t>
  </si>
  <si>
    <t>gracias. (Siguen los elogios de varios oficiales.) Tengo el honor de ser, &amp;c. = Juan Whitelocke, teniente general. Ttatado definitivo entre los generales en gefe de S. M* británica y de 5. JM» católica, compuesto de los artículos siguientes: 1. ° Desde ahora cesarán las hostilidades e</t>
  </si>
  <si>
    <t>pa. 6_ Fecho por duplicado en el fuerte de Buenos-Ayres á 7 de julio de 1807. = Juan Whitelocke, teniente general comandante.=Jorge Mtírray almirante comandante. ^Santiago Liniers. = Cesar Balbiani.% Bernardo Velasco. DEL DAILY ADVERTISER. Londres 14 de setiembre. = Avisos oficiales d</t>
  </si>
  <si>
    <t>Whitshed</t>
  </si>
  <si>
    <t>e no desanimase las milicias, y que no decidiese con ligereza sobre el sistema que está examinando. Mr. Whitshed, el ministro de la Guerra y otros vocales defendieron el nuevo plan, respondiendo á los argumentos de Mr. Franckland, y á sus quejas sobre la cláusula que decía se quería introduc</t>
  </si>
  <si>
    <t>Wiasemskoi, Príncipe</t>
  </si>
  <si>
    <t>Príncipe Wiasemskoi</t>
  </si>
  <si>
    <t>e han desembarcado en este puerto se detendrán dos dias, y luego pasarán á Foggia á las órdenes del Príncipe Wiasemskoi. S. M. ha mandado que á estas tropas se les dé toda especie de auxilios, y que se les trate con la consideración que se debe á una potencia grande y amiga. Aqui se han embargado m</t>
  </si>
  <si>
    <t>ró aqui se pensó qué continuaría su víágé por tierra atravesando los Abruzzos; pero el general ruso Príncipe Wiasemskoi ha desistido de este pensamiento por las dificultades que habia para transportar por tierra la artillería y bagages, sin embargo de que esta ciudad y su distrito habían ya apronta</t>
  </si>
  <si>
    <t>Wiesand</t>
  </si>
  <si>
    <t>odo el consejo, el quai ha empezado sus sesiones desde el lunes 6 del corriente. Estando en Iverdun Mr. Wiesand para observar el nuevo método de enseñanza de Enrique Pestalozzi por comisión de la corte de Saxonia, tuvo noticias del instituto que se habia formado en Madrid, con el objeto de</t>
  </si>
  <si>
    <t>Wiikinson</t>
  </si>
  <si>
    <t>últimas noticias de América dicen que se ha suspendido el proceso del coronel Burr hasta que llegue Mr. Wiikinson, y se le oiga como testigo principal. Losd Castlereagh-ha hecho en la cámara de los comunes la exposición de su huevó sistema militar para la defensa del reyoo. He aqui el resúmen</t>
  </si>
  <si>
    <t>Wilberforce</t>
  </si>
  <si>
    <t>ntinuó su discurso, terminándolo con un brillante elogio de ios talentos , virtudes y eioqüencia de Mr. Wilberforce , ,, á quien deberán, dixo, las generaciones venideras el gran beneficio de la abolición del comercio de esclavos.” S. A. R. el.dpque de Clarence contradixo al lord Grenville. Est</t>
  </si>
  <si>
    <t>dado exemplo de humanidad y desinterés.” Y concluyó dando el parabién al primer autor del proyecto, Mr. Wilberforce, por el feliz éxito que iba á. conseguir de su empresa, al cabo de tan largos y constantes esfuerzos.— A propuesta del Lord Howick. acordó la cámara que se imprimiese el bill3 y s</t>
  </si>
  <si>
    <t>sterial'por-16,1 votos contra 60, remitiéndose el negocio á la comLion de rencas.—-Se hg notado que Mr. Wilberforce ha seguido en estos debates el voto de los ministros. Lord Gardner salió de aquí el dia 3 para Plymouíh á tomar; el. mando de Ja e^quadra- del canal. . d ¡, ■&gt;.? r Los guardias de</t>
  </si>
  <si>
    <t>ado un paso en su civilización, parecía era justo que la compañía restituyese la referida cantidad. Mr. Wilberforce le contestó diciendo que la nación ha adelantado á la compañía mucho menos fondos que los que se le habían dado en otras circunstancias para la manutención de los negros cimarrone</t>
  </si>
  <si>
    <t>Willaumez, Almirante</t>
  </si>
  <si>
    <t>Almirante Willaumez</t>
  </si>
  <si>
    <t>r de la ley que se ha nondxado. La fragata francesa la Valerosa, que hacia parte de la esquadra del Almirante Willaumez, que entró en Delaware para reparar las averías que le había causado el huracán que dispersó aquella esquadra, se halla hace algún tiempo en estado de hacerse á la vela* RUSIA. Pe</t>
  </si>
  <si>
    <t>Windfíám</t>
  </si>
  <si>
    <t>ción, y mientras estuvo el lord Lauderdale en París no cuidaron de otra cosa alguna. ¡ ¿ ‘ * V- £ ’ Mr. Windfíám respondió á está “reconvención diciendo, que la primera noticia que los ministros tuvieron de la expedición de Buenos-Ayres se recibió el 24 desunió; que no se perdió un momento'e</t>
  </si>
  <si>
    <t>Windham</t>
  </si>
  <si>
    <t>se si son ó no necesarias sin una razón circunstanciada de su inversión. El Secretariouie.la guerra Mr. Windham se opuso á la propuesta , por la razón de.que teniendo la Cámara á la vista lqs estados originales,,qualquier vocal era dueño de examinarlos. Mr, Sturgtss Bourne y Mr. Perceval ap</t>
  </si>
  <si>
    <t>tiempo para examinarlos, y para conocer la fuerza efectiva del exército, y los efectos del plan de Mr. Windham. Propuso varios reparos contra este sistema; y viniendo á hablar de las voces que corrían ;acerca de la pérdida de Buenos-Ayres, arguyo de negligencia á los ministros, sosteniendo</t>
  </si>
  <si>
    <t>arla á nuestro comercio, haria muy desgraciada la suerte de los negros , que en el dia son felices. Mr. Windham dixo que á pesar del horror que profesa á la esclavitud baxo qualquier forma que se presente, le parecen grandes los inconvenientes de su abolición, y que es muy problemático sí l</t>
  </si>
  <si>
    <t>sido absolutamente necesaria , y propuso que se desechase la adición propuesta por el lord Howick. Mr. Windham tomó la palabra; y después de varias reflexiones que hizo sobre la conducta de^ los ministros, concluyó diciendo que no aprobaba la corrección propuesta del mensage de la cámara,</t>
  </si>
  <si>
    <t>en la gente de mary y fomentar ideas contrarias á su interes particular y al general de la nación. Mr. Windham, Mr. C. Polé y Mr. Sheridam defendieron al lord S. Vicente, representándole como un bienhechor de la marina inglesa. La cámara pasó á la votación, y fue desechada la propuesta del</t>
  </si>
  <si>
    <t>habido una larga discusión sobre qual es la educación que conviene dar á los irlandeses católicos. Mr. Windham sostuvo que no hay razón para reconvenir de barbarie á los irlandeses, y que él personalmente está persuadido á que el pueblo protestante de Inglaterra es mas grosero que los cató</t>
  </si>
  <si>
    <t>r si quisieren alistarse por tiempo determinado, ó de por vida, no obstante la cláusula del bilí de Mr. Windham, que fixa á determinado número de años todos los enganches. 5.0 Y finalmente, si por qualesquiera causas se disminuyese el número de voluntarios, que se autorice á los lores lugar</t>
  </si>
  <si>
    <t>siguiente no habian creído, necesario proponer un nuevo plan militar. Querían que subsistiese el de Mr. Windham, aunque le tenían por malo; y si presentan otro mas adaptable, es porque asilo exigen las urgentes circunstancias. f Mr. Híley Addíngton habló contra nuevo plan diciendo: „Que áuo</t>
  </si>
  <si>
    <t>te del discurso de lord Castlereagh, que contenía las persona^ Edades impertinentes contra su amigo Mr. Windham y contra los ministros. Llevado de su indignación iba ensartando una serie de baldones contra los actuales ministros, quando los gritos que se levantaron en las dos partes de la sal</t>
  </si>
  <si>
    <t>Windhatn</t>
  </si>
  <si>
    <t>' . . . • . 241 concediesen ciertas cantidades de dinero para cubrirlos gastos del exército. Mr. Windhatn tomó la defensa de su plan militar. ,,La comparación, dixo, de los gastos de este año con los del año pasado debe sernos muy satisfactoria. Se han aumentado nuestras tropas, y dis</t>
  </si>
  <si>
    <t>Witbread</t>
  </si>
  <si>
    <t>de estas distinciones, ó de malicia con el fin de esparcir ideas perversas é impracticables.” . . . Mr. Witbread, después de hablar largamente sobre los perjuicios que pueden producir estas falsas nociones, dixo que su objeto es arreglar y modífirar las leyes concernientes á los pobres: hace</t>
  </si>
  <si>
    <t>Ha contribuido bastante á su crédito el favorable informe qúe dio del nuevo método en el parlamento Mr. Witbread quando habló del bilí para hacer mas llevadera la condición de los pobres. En su eloqüente discurso le recomendó como muy á propósito para disminuir el número de los delitos., y p</t>
  </si>
  <si>
    <t>Withbread</t>
  </si>
  <si>
    <t>erca de sus planes, y que en otra sesión respondería! los cargos del lord Castlereagh. En la del 19 Mr. Withbread hizo una proposición sobre mejorar las leyes relativas á los pobres: pretendió que las actuales, aunque fundadas en buenos principios, eran defectuosas, como muestra la experienci</t>
  </si>
  <si>
    <t>espués de haber perdido 15 hombres muertos, ha sido apresada y conducida á Halifax. Con este motivo Mr. Withbread preguntó en la sesión de la cámara de los comunes del dia 27* si los ministros estaban en disposición de informar á la cámara sebrs este suceso, que podía acarrear conseqiiencias</t>
  </si>
  <si>
    <t>Withworth, Lord</t>
  </si>
  <si>
    <t>Lord Withworth</t>
  </si>
  <si>
    <t>entrado en las Dunas 27 embarcaciones del convoy que viene de Jamayca baxo la escolta del Fisgará. Lord Withworth ha tenido con el secretario de Estado Mr. Canning una conferencia que ha dado ocasión á muchas conjeturas. Algunas personas creen que lord Withworth marchará en breve á Portugal.-</t>
  </si>
  <si>
    <t>Witte</t>
  </si>
  <si>
    <t>ha mostrado en la última guerra. También ha nombrado caballero de la orden de S. Alexandro Newski á Mr. Witte, ingeniero general, é individuo de la junta de puentes y calzadas, en recompensa del zelo infatigable «on que ha trabajado en la construcción del canal de Beresin, destinado á jun</t>
  </si>
  <si>
    <t>Wiudharn</t>
  </si>
  <si>
    <t>puesto fuertemente Sir Roberto Williams y el coronel Stanley, sosteniendo que el sistema militar de Mr. Wiudharn era preferible por todos capítulos. Mr. Lockhart defendió el pian de los ministros, asegurándoles que sí tomaban providencias enérgicas para la defensa de la patria, hallarían dispu</t>
  </si>
  <si>
    <t>Wlibread</t>
  </si>
  <si>
    <t>de atención que se Ean tratado,durante el parlamento actual, es el qu.j propuso el 19 de febre* fo Mr. Wlibread en la cámara baxa. „Se trata, dixo, de reformar y perfeccionar las leyes relativas á los pobres: se trata nada menos que dev lá solución del gran problema, cuyo objeto es disminuir</t>
  </si>
  <si>
    <t>Wori, General</t>
  </si>
  <si>
    <t>General Wori</t>
  </si>
  <si>
    <t>sido 6?cañoñfés, algunas bandejas y bastantes prisioneros. Éír Mariscal Néy-elogia la conducta del General Wori,1er ve*dt, ^úe ha sido herido: hace mención particular del C roñe! B u d i 69.°, que se ha distinguido por su valor. El mismo dia el 59.° ha avanzado sobre Lauterburg. Durante la</t>
  </si>
  <si>
    <t>Wranges, Capitán</t>
  </si>
  <si>
    <t>Capitán Wranges</t>
  </si>
  <si>
    <t>o la derrota del enemigo, es que no ha inquietado mi retaguardia durante mi marcha retrógrada. . El Capitán Wranges, portador de este pliego, que ha estado á mi lado durante la acción, podrá informar á V. M. de sus pormenores.__ Rozan ~ de Diciembre de 1806. = Firmado, Benigsen. El corsario Mar</t>
  </si>
  <si>
    <t>Wybicki</t>
  </si>
  <si>
    <t>23‘.' # . . tas Mr. de Gütakowski, el Conde Estanislao Potocki, Mr. Wybicki, el Condo de Dzialyiuki , Mr. Brelinski y Mr. Sabolinski.” ' Se asegura que el Príncipe de Ponte- Corvo está nombrado Generalísimo de las tropas polacas. FRUSTA. Berlín gi de ener</t>
  </si>
  <si>
    <t>Xarava, Juan Francisco</t>
  </si>
  <si>
    <t>Juan Francisco Xarava</t>
  </si>
  <si>
    <t>Juan Antonio Bruno, á D. Juan Josef Gamboa; y para la tesorería que este dexa al canónigo doctoral D. Juan Francisco Xarava: para una ración de la catedral dé Puebla de los Angeles, vacante por muerte de D. Juan Sánchez Soriano, á D. Miguel Martínez de los Ríos; para la media ración que obtiene á D. Fr</t>
  </si>
  <si>
    <t>Xerez, Andrés</t>
  </si>
  <si>
    <t>Andrés Xerez</t>
  </si>
  <si>
    <t>s jurídicos, á los patronos de la dicha escuela, el beneficiado y procurador síndico de la villa, y D. Andrés Xerez, canónigo de la referida ciudad, en el término de 30 dias contados desdé la publicación de este aviso. En la villa de la Almarcha, obispado de Cuenca, se ha establecido con licenc</t>
  </si>
  <si>
    <t>Ximenez, Agustín</t>
  </si>
  <si>
    <t>Agustín Ximenez</t>
  </si>
  <si>
    <t>y del Castro, D. Juan María Noriega, Doña María Catania Vallarina de Arenzano, D. ManueL de Ortega, D. Agustín Ximenez y D. Antonio Ccvallcs; y mediante á que sin embargo de las muchas diligencias practicadas y edictos fixados para que comparezcan á abrir y recoger dichas cartas, no lo ha verificado n</t>
  </si>
  <si>
    <t>Ximenez, Juan Antonio</t>
  </si>
  <si>
    <t>Juan Antonio Ximenez</t>
  </si>
  <si>
    <t>ervido S. M. conceder ayudantía al teniente D. Josef Broceta, y empleo de portaestandarte al cadete D. Juan Antonio Ximenez. También se ha dignado el Rey conceder empleo de portaguión en el regimiento de dragones del Rey al cadete D. Ramón Conti; y en el de Sa.gunto empleo de alférez al portaguión D. C</t>
  </si>
  <si>
    <t>Ximenez, Manuel</t>
  </si>
  <si>
    <t>Manuel Ximenez</t>
  </si>
  <si>
    <t>nte en la parroquia de la villa del Castillo de Garcimuñoz, en el obispado de^Cuenca, por muerte de D. Manuel Ximenez, á D. Ignacio, Te naquero: para las prestameras vacantes en la diócesi de Cuenca, la de la villa de Cervera,por fallecimiento de D. Angel Tomas de la Mata; da: deL lugar de Mohort</t>
  </si>
  <si>
    <t>Ximenez, Nicolas</t>
  </si>
  <si>
    <t>Nicolas Ximenez</t>
  </si>
  <si>
    <t>Licenc. 141 ... 32. Nicolas Ximenez ..... de Gabriel.. .. Santo Domin~o en el reyno de Tokdo........ 1795 .• Licenc. N icolas de Varg</t>
  </si>
  <si>
    <t>Xímeno, Juan</t>
  </si>
  <si>
    <t>Juan Xímeno</t>
  </si>
  <si>
    <t>D. Pedro y D. Juan Esponera. En León................. D. Pedro Gil de Tejada. En Málaga........... D. Juan Xímeno. En Mahon............. Doña Catalina Germán y Hugalde. En Murcia............ Sres. Moreda y Ladalid. En Oviedo.............. D. Manuel Rubiano. En Patencia........ . Viuda de D. N</t>
  </si>
  <si>
    <t>Ximeno, Juan</t>
  </si>
  <si>
    <t>Juan Ximeno</t>
  </si>
  <si>
    <t>utará por la escribanía de la comisión, que desempeña D. Manuel González Moro. 1 Por procidencia de D. Juan Ximeno, juez comisionado real para la venta de bienes eclesiásticos en la diócesi de Málaga, dictada en 23 de abril próximo pasado, se ha mmdado sacar á pública subasta, por término de 3</t>
  </si>
  <si>
    <t>racticará por la escribanía de la comisión, que exerce D. Manuel Hoyo de Molina. Por providencia de D. Juan Ximeno, juez comisionado real para la venta de bienes eclesiásticos en la diócesi de Málaga, se ha mandado sacar á pública subasta, por término de 30 dias, una casa sita en dicha ciudad,</t>
  </si>
  <si>
    <t>; en la inteligencia de que está señalado para su remate el dia 12 del presente. Por providencia de D. Juan Ximeno, comisionado real para la venta de bienes eclesiásticos eñ la diócesi de Málaga, se ha mandado sacar á pública subasta por 'término:de 30 dias úná súerte de monte de. llevar bello</t>
  </si>
  <si>
    <t>Ximeno, Miguel</t>
  </si>
  <si>
    <t>Miguel Ximeno</t>
  </si>
  <si>
    <t>aballería del Príncipe se lia servido S. M. conceder, empleo de portaestandarte al sargento primero D. Miguel Ximeno: en el de Farnesio tenencias á los alféreces D. Pedro Barberi y D. Josef PeraR&gt;., y en el de Mantesa empleo de alférez, al portaestandarte D. Basilio Cabalen. También se ha dignad</t>
  </si>
  <si>
    <t>Xinieno, Juan</t>
  </si>
  <si>
    <t>Juan Xinieno</t>
  </si>
  <si>
    <t>D. Pedro y D. Juan Esponera. En León................ D. Gerónimo Gómez.1' , ' : En Malaga.......... D. Juan Xinieno. ;i -: » h = En Makon........... Doña Catalina Germán f Hugaldé. En Murcia..... ...... Sres. Moreda y Ladalkh En Oviedo.......... D. Manuel Rubianó.</t>
  </si>
  <si>
    <t>Xirnenez, Andrés</t>
  </si>
  <si>
    <t>Andrés Xirnenez</t>
  </si>
  <si>
    <t>También se ha dignado $. M. conceder ayudantía en el regimiento de dragones de la Reyna aí teniente D. Andrés Xirnenez : en el de Almanta empleos de alférez al portaguión D. Josef Hurtado de Mendoza, y al cadete D. Fernando Montero; y el de portaguión al sargento primero Don Diego Camacho: en el d</t>
  </si>
  <si>
    <t>Xirnenez, Rafael</t>
  </si>
  <si>
    <t>Rafael Xirnenez</t>
  </si>
  <si>
    <t>leo de alférez al portaguión Don Diego de Torres; y en el de Sagunto empleo de portaguión al cadete Don Rafael Xirnenez. El mercurio de España de junio de 1807 se hallará desde mañana en el despacho de la imprenta real, y en Cádiz en casa de D. Manuel Navarro. VENTAS JUDICIALES. El Sr. Intendente d</t>
  </si>
  <si>
    <t>XJrueta, Manuel</t>
  </si>
  <si>
    <t>Manuel XJrueta</t>
  </si>
  <si>
    <t>eniente de granaderos al de fusileros D. Esíéoan Morrón &gt; á Subtenientes de fusileros á los Cadetes D. Manuel XJrueta y D. Manuel Conde, y al Soldado distinguido D.Juan de Dios Oiigos; y á Subteniente de bandera á D. Diego Viilamil, vecino de la jurisdicción del mismo cuerpo: en Jos cuerpos de Milici</t>
  </si>
  <si>
    <t>Xuis Duran y de Bastero</t>
  </si>
  <si>
    <t>ano por el P. Longaro de Oddi, de la extinguida compañía de Jesús, y traducida en castellano por el Dr. Don Xuis Duran y de Bastero, canónigo de la catedral de Barcelona. Véndese en la librería de Davila , calle de las Carretas, y en Barcelona en la de Sierra y Martí. Los suscriptores á las Reflexiones sobre l</t>
  </si>
  <si>
    <t>y Estrada, Julián Alonso</t>
  </si>
  <si>
    <t>Julián Alonso y Estrada</t>
  </si>
  <si>
    <t>ormado autos por el juzgado del Sr. D. Antonio Cano Manuel,alcalde de casa y corte, y escribanía de D. Julián Alonso y Estrada, á los quales han salido varias personas solicitando se las tenga por herederas de dicha Doña María; y habiéndose hecho el correspondiente inventario y tasación de los bienes que</t>
  </si>
  <si>
    <t>y Llano, Juan Santiago</t>
  </si>
  <si>
    <t>Juan Santiago y Llano</t>
  </si>
  <si>
    <t>Subteniente de granaderos D. Pascual Canut; y Subtenencias de bandera en el mismo cuerpo ál Cadete D. Juan Santiago y Llano: en el de León al Sargento primero de granaderos D. Tomas Luengo y al Cadete D. Josef Martínez Noguerol: en el de Astúrias al Sargento primero de granaderbs D. Luis Pimentel; y en</t>
  </si>
  <si>
    <t>Yañez Rivadeoeyra, Ignacio</t>
  </si>
  <si>
    <t>Ignacio Yañez Rivadeoeyra</t>
  </si>
  <si>
    <t>vido nombrar para el corregimiento de letras de la ciudad de Zamora, de tercera ó superior clase, á D. Ignacio Yañez Rivadeoeyra: p2ra el de Segovia» de la misma clase, á D. JosefVinuesa: para el de la villa de Camón» que este dexa,de la segunda, á D. Francisco Gutiérrez López Caravantes: para el de la ciud</t>
  </si>
  <si>
    <t>Yañez, Francisco</t>
  </si>
  <si>
    <t>Francisco Yañez</t>
  </si>
  <si>
    <t>jo: para otra media-ración del lugar de Masueco, en la diócesis de Salamanca, Vacante por muerte de D. Francisco Yañez, á D. Ignacio Juan Criado ; y para una capellanía de la real capilla de S. Fernando, sita en la metropolitana de Sevilla , vacante por fallecimiento de D. Pedro Alvarez de Estrada</t>
  </si>
  <si>
    <t>Yañez, Pedro Vicente</t>
  </si>
  <si>
    <t>Pedro Vicente Yañez</t>
  </si>
  <si>
    <t>rar á D. Vicente María Carrillo para la dignidad de arcediano de i a metropolitana de Valencia, y á D. Pedro Vicente Yañez para la canongía que aquel obtiene, y resultará vacante en la misma iglesia: á D. Marcos Ignacio Roselló para una canongía de la catedral de Mallorca, vacante por fallecimiento de</t>
  </si>
  <si>
    <t>D. Francisco Xavier Herrera y Blandino: pára otra de la catedral de Cuenca, vacante por ascenso de D. Pedro Vicente Yañez á otra de la metropolitana de Valencia, á D. Josef Mateo López, canónigo doctoral de la catedral de Segovia ; y para la canongía de la de Sigiienza, vacante por aseen o de D. Manu</t>
  </si>
  <si>
    <t>Yaniz, Pedro</t>
  </si>
  <si>
    <t>Pedro Yaniz</t>
  </si>
  <si>
    <t>primero D. Felipe Muñoz y al cadete D. Antonio de Vargas j y en el de Calatrava tenencia al alférez Don Pedro Yaniz. i ; v j':En consideración á los méritos y circunstancias de D. Marcos Eermu-* dez, administrador de rentas generales y reunidas de Alicante, se ha servido el Rey concederle h*&gt;s</t>
  </si>
  <si>
    <t>Yeguas, Gerónimo</t>
  </si>
  <si>
    <t>Gerónimo Yeguas</t>
  </si>
  <si>
    <t>es. Los pretendientes dijrigirán sus memorialesá los comísIonados D. Bernardino González Serrano y. D. Gerónimo Yeguas , quienes les instruirán de todo. ✓■y Iitado generai de la Real Armada. Se hallará en el despacho de la Imprenta</t>
  </si>
  <si>
    <t>Yieéníe</t>
  </si>
  <si>
    <t>ancisco Xavier Castaños, General en Gefe del Exército y Campo de Gibraltar , ha tomado el Brigadier D. Yieéníe~María de Maturana, Comandante general de su Artillería, d uno de-los Españoles \ hechos prisioneros en la goleta armada* en ■ corso y mercancía, nombrada. Ntra. Sra. de Aranzazuap</t>
  </si>
  <si>
    <t>Yorko, Carlos</t>
  </si>
  <si>
    <t>Carlos Yorko</t>
  </si>
  <si>
    <t>y el duque de Glocester han sido los primeros que lo han hecho. Cámara de los comunes 22 de junio, Mr. Cárlos Yorko ha propuesto á</t>
  </si>
  <si>
    <t>Zahonero, Manuel</t>
  </si>
  <si>
    <t>Manuel Zahonero</t>
  </si>
  <si>
    <t>último, con clibieíta á D. Pedro Obando y D. Josef Manuel González, de Salamanca, testamentarios de D. Manuel Zahonero, dos acciones, de 240 millones, canceladas en i.° de enero de este año, núms. 20890 y 20932, con dos recibos de réditos de á 500 rs. cada uno, y otro de i$)rs., correspondientes á</t>
  </si>
  <si>
    <t>Zapata, Felipe</t>
  </si>
  <si>
    <t>Felipe Zapata</t>
  </si>
  <si>
    <t>sideren con derecho ó acción á los bienes de la referida Doña María Josefa de Herrera y Retes, ó de D. Felipe Zapata su marido, para que en el término de 30 dias contados desde la publicación de este anuncio, acudan ante dicho señor, por la escribanía de D. Miguel Gonzalo, á acreditar su pertene</t>
  </si>
  <si>
    <t>se contemplen con derecho ó acción á los bienes de la referida Doña María de Herrera y Retes, ó de D. Felipe Zapata su marido, para que en el término de 20 días, que por segundo se les concede, contados desde el ip de noviembre próximo pasado, acudan á dicho juzgado y citada escribanía á acredi</t>
  </si>
  <si>
    <t>Zapata, Francisco</t>
  </si>
  <si>
    <t>Francisco Zapata</t>
  </si>
  <si>
    <t>para otra, de la catedral de Calahorra, vacante por fallecimiento de D. Luis Tomas García Roldan» á D. Francisco Zapata, canónigo de la de Astorga: para otra de la catedral de Jaén, vacante por moerte de D. Sebastian Perez Piñuela, á D. Miguel de los Santos Ballesteros Fermosell *• para una ración</t>
  </si>
  <si>
    <t>Zapata, Miguel</t>
  </si>
  <si>
    <t>Miguel Zapata</t>
  </si>
  <si>
    <t>te en el batallón de León ai subteniente D. Pedro Hidalgo, y subteniente de compañía y de bandera á D. Miguel Zapata y D. Pedro VaidivielsO: subtenientes de bandera en el de Olancho á D. Cayetano Payes y D. Benito Padilla: teniente y alférez en el esqyadron de dragones dé Sonsonate á D. Pedro Ugálde</t>
  </si>
  <si>
    <t>Zapatero, Miguel</t>
  </si>
  <si>
    <t>Miguel Zapatero</t>
  </si>
  <si>
    <t>de artillería honorario de guerra de los reales exércitos al Guarda-almacén ordinario de artillería D. Miguel Zapatero; habiéndose dignado S. M. conferir esta resulta al Guarda</t>
  </si>
  <si>
    <t>Zastrow, General</t>
  </si>
  <si>
    <t>General Zastrow</t>
  </si>
  <si>
    <t>una compañía de inválidos. El ministerio del Rey de Prusia se compone de las personas siguiente» El General Zastrow, Ministro de Estado. El General Ruchel, enfermo todavía de la herida que recibió en la batalla de Jena, Ministro de la Guerra. El Presidente Sagebarthe, Ministro de lo Interior. L</t>
  </si>
  <si>
    <t>Zea, Francisco Antonio</t>
  </si>
  <si>
    <t>Francisco Antonio Zea</t>
  </si>
  <si>
    <t>ue no haya demora en la correspondencia se ha distribuid© este encargo entre los quatro redactores: D. Francisco Antonio Zea corre con la de oficio, D. Claudio y D. Esteban Boutelou con la de agricultura y economía rural,y D. Simón de Roxas Clemente con la de subscripciones, Intereses dcc. Investigacion</t>
  </si>
  <si>
    <t>án dirigirse las sociedades en la época oportuna de la recolección al director de dicho real jardin D. Francisco Antonio Zea. UOTICIA DEL CELEBRE ESCULTOR ANTONIO CANOVA, Y DE SUS OBRAS. Los progresos que la pintura y escultura han hecho de 20 años á esta parte, son tan considerables, que merecerán nota</t>
  </si>
  <si>
    <t>Zelger, Francisco</t>
  </si>
  <si>
    <t>Francisco Zelger</t>
  </si>
  <si>
    <t>de granaderos al capitán segundo D. Francisco Bally, y á capitán segundo al teniente~de granaderos D. Francisco Zelger: en el de Betschart á subteniente al cadete D. Agustín Gir; y en el de Preux á teniente al subteniente .de granaderos D. Federico Quartery; y á subteniente de bandera al cadete D.</t>
  </si>
  <si>
    <t>Zimbora, Estéban</t>
  </si>
  <si>
    <t>Estéban Zimbora</t>
  </si>
  <si>
    <t>ento Si&amp;&gt; •ao de Tráxler ai capitán D.T Luis Cristen, y á subteniente de banderaal ^argento primero D. Estéban Zimbora. En el de Betschart á subteniente al cadete D. Josef Cabrinety. En el de Reding, n. 2.0, á teniente de granaderos al de fusileros D. Cristóbal Stofiel: esta resulta á D. Cristóbal</t>
  </si>
  <si>
    <t>Zorita, Juan Ventura</t>
  </si>
  <si>
    <t>Juan Ventura Zorita</t>
  </si>
  <si>
    <t>justicia, y ademas el clero á parte. Los memoriales se dirigirán por Villarejo de Salvanés, Brea, á D. Juan Ventura Zorita, alcalde ordinario de la misma, has* ta el dia 2 5 del presente» LIBROS. Tratado de las liebres perniciosas intermitentes, escrito en francés por J. L. Alibert, y traducido al cas</t>
  </si>
  <si>
    <t>Zorrilla y Monroy, Alonso</t>
  </si>
  <si>
    <t>Alonso Zorrilla y Monroy</t>
  </si>
  <si>
    <t>tes dirigirán sus memoriales hasta el 15 de agosto próximo á los comisionados de aquel ayuntamiento D. Alonso Zorrilla y Monroy y D. Alonso Villalobos. Hace algunos meses que falta de su casa Juan Miguel de U'rreta Vizcaya, natural y vecino de la villa de Elduain, en la provincia de Guipúzcoa; de edad de 34 añ</t>
  </si>
  <si>
    <t>Zuazo, Ramón</t>
  </si>
  <si>
    <t>Ramón Zuazo</t>
  </si>
  <si>
    <t>avidcluz, D. Manuel Cedrón, D. Antonio Valentín Diez, D. Josef Blan*? co Atidrade, D, Juan Perfume, D. Ramón Zuazo y el referido Soto y Parga: eri geometría práctica D. Josef Carrero, D. Manuel Royo, D. Ramón JEiroa, y los citados Ordavideluz , Cedrón , Valentín Diez, Blanco Andrade y Perfume; hab</t>
  </si>
  <si>
    <t>Fuentes y criterio de elaboración</t>
  </si>
  <si>
    <t>Páginas impresas</t>
  </si>
  <si>
    <t>Registros</t>
  </si>
  <si>
    <t>Fascículo oficial (PDF)</t>
  </si>
  <si>
    <t>1–12</t>
  </si>
  <si>
    <t>13–20</t>
  </si>
  <si>
    <t>21–32</t>
  </si>
  <si>
    <t>33–44</t>
  </si>
  <si>
    <t>45–56</t>
  </si>
  <si>
    <t>5 (supl.)</t>
  </si>
  <si>
    <t>57–60</t>
  </si>
  <si>
    <t>61–68</t>
  </si>
  <si>
    <t>69–84</t>
  </si>
  <si>
    <t>85–96</t>
  </si>
  <si>
    <t>97–104</t>
  </si>
  <si>
    <t>105–116</t>
  </si>
  <si>
    <t>117–128</t>
  </si>
  <si>
    <t>129–140</t>
  </si>
  <si>
    <t>141–152</t>
  </si>
  <si>
    <t>153–164</t>
  </si>
  <si>
    <t>165–176</t>
  </si>
  <si>
    <t>177–188</t>
  </si>
  <si>
    <t>189–200</t>
  </si>
  <si>
    <t>201–216</t>
  </si>
  <si>
    <t>217–228</t>
  </si>
  <si>
    <t>229–236</t>
  </si>
  <si>
    <t>237–248</t>
  </si>
  <si>
    <t>249–260</t>
  </si>
  <si>
    <t>261–276</t>
  </si>
  <si>
    <t>277–292</t>
  </si>
  <si>
    <t>293–304</t>
  </si>
  <si>
    <t>305–316</t>
  </si>
  <si>
    <t>317–328</t>
  </si>
  <si>
    <t>329–336</t>
  </si>
  <si>
    <t>337–348</t>
  </si>
  <si>
    <t>349–360</t>
  </si>
  <si>
    <t>361–372</t>
  </si>
  <si>
    <t>373–384</t>
  </si>
  <si>
    <t>385–396</t>
  </si>
  <si>
    <t>397–408</t>
  </si>
  <si>
    <t>409–420</t>
  </si>
  <si>
    <t>35 (supl.)</t>
  </si>
  <si>
    <t>sin numerar (4 págs. PDF)</t>
  </si>
  <si>
    <t>421–432</t>
  </si>
  <si>
    <t>433–444</t>
  </si>
  <si>
    <t>445–456</t>
  </si>
  <si>
    <t>38 (supl.)</t>
  </si>
  <si>
    <t>457–458</t>
  </si>
  <si>
    <t>459–470</t>
  </si>
  <si>
    <t>471–482</t>
  </si>
  <si>
    <t>483–494</t>
  </si>
  <si>
    <t>495–506</t>
  </si>
  <si>
    <t>507–518</t>
  </si>
  <si>
    <t>519–530</t>
  </si>
  <si>
    <t>44 (supl.)</t>
  </si>
  <si>
    <t>sin numerar (2 págs. PDF)</t>
  </si>
  <si>
    <t>531–542</t>
  </si>
  <si>
    <t>543–554</t>
  </si>
  <si>
    <t>555–562</t>
  </si>
  <si>
    <t>563–574</t>
  </si>
  <si>
    <t>575–586</t>
  </si>
  <si>
    <t>587–598</t>
  </si>
  <si>
    <t>599–610</t>
  </si>
  <si>
    <t>611–626</t>
  </si>
  <si>
    <t>627–638</t>
  </si>
  <si>
    <t>639–650</t>
  </si>
  <si>
    <t>651–662</t>
  </si>
  <si>
    <t>663–674</t>
  </si>
  <si>
    <t>675–682</t>
  </si>
  <si>
    <t>683–694</t>
  </si>
  <si>
    <t>695–706</t>
  </si>
  <si>
    <t>707–714</t>
  </si>
  <si>
    <t>715–726</t>
  </si>
  <si>
    <t>727–734</t>
  </si>
  <si>
    <t>735–738</t>
  </si>
  <si>
    <t>739–750</t>
  </si>
  <si>
    <t>751–762</t>
  </si>
  <si>
    <t>763–764</t>
  </si>
  <si>
    <t>765–776</t>
  </si>
  <si>
    <t>777–788</t>
  </si>
  <si>
    <t>789–796</t>
  </si>
  <si>
    <t>797–808</t>
  </si>
  <si>
    <t>809–820</t>
  </si>
  <si>
    <t>821–836</t>
  </si>
  <si>
    <t>837–848</t>
  </si>
  <si>
    <t>849–860</t>
  </si>
  <si>
    <t>861–872</t>
  </si>
  <si>
    <t>873–884</t>
  </si>
  <si>
    <t>885–896</t>
  </si>
  <si>
    <t>897–908</t>
  </si>
  <si>
    <t>909–924</t>
  </si>
  <si>
    <t>925–936</t>
  </si>
  <si>
    <t>937–948</t>
  </si>
  <si>
    <t>949–960</t>
  </si>
  <si>
    <t>961–972</t>
  </si>
  <si>
    <t>973–984</t>
  </si>
  <si>
    <t>985–996</t>
  </si>
  <si>
    <t>997–1000</t>
  </si>
  <si>
    <t>1001–1012</t>
  </si>
  <si>
    <t>87 (supl.)</t>
  </si>
  <si>
    <t>sin numerar (8 págs. PDF)</t>
  </si>
  <si>
    <t>1013–1020</t>
  </si>
  <si>
    <t>1021–1032</t>
  </si>
  <si>
    <t>89 (supl.)</t>
  </si>
  <si>
    <t>1033–1048</t>
  </si>
  <si>
    <t>90 (supl.)</t>
  </si>
  <si>
    <t>1049–1060</t>
  </si>
  <si>
    <t>91 (supl.)</t>
  </si>
  <si>
    <t>1061–1072</t>
  </si>
  <si>
    <t>92 (supl.)</t>
  </si>
  <si>
    <t>sin numerar (5 págs. PDF)</t>
  </si>
  <si>
    <t>1073–1084</t>
  </si>
  <si>
    <t>1085–1096</t>
  </si>
  <si>
    <t>1097–1108</t>
  </si>
  <si>
    <t>1109–1120</t>
  </si>
  <si>
    <t>1121–1132</t>
  </si>
  <si>
    <t>1133–1144</t>
  </si>
  <si>
    <t>1145–1156</t>
  </si>
  <si>
    <t>1157–1168</t>
  </si>
  <si>
    <t>1169–1180</t>
  </si>
  <si>
    <t>1181–1192</t>
  </si>
  <si>
    <t>1193–1204</t>
  </si>
  <si>
    <t>1205–1216</t>
  </si>
  <si>
    <t>1217–1228</t>
  </si>
  <si>
    <t>1229–1240</t>
  </si>
  <si>
    <t>1241–1252</t>
  </si>
  <si>
    <t>1253–1264</t>
  </si>
  <si>
    <t>1265–1276</t>
  </si>
  <si>
    <t>1277–1288</t>
  </si>
  <si>
    <t>1289–1300</t>
  </si>
  <si>
    <t>1301–1312</t>
  </si>
  <si>
    <t>1313–1324</t>
  </si>
  <si>
    <t>1325–1332</t>
  </si>
  <si>
    <t>1333–1340</t>
  </si>
  <si>
    <t>Alcance</t>
  </si>
  <si>
    <t>Índice de personas citadas en los 115 números y sus documentos asociados publicados durante el año 1807.</t>
  </si>
  <si>
    <t>Cobertura</t>
  </si>
  <si>
    <t>Periodo solicitado: 1 de enero–31 de diciembre de 1807. La Gazeta publicó el número 1 el 2 de enero y el número 115 el 29 de diciembre.</t>
  </si>
  <si>
    <t>Documentos</t>
  </si>
  <si>
    <t>Se han procesado 124 PDF: 115 números —11 extraordinarios— y 9 suplementos o documentos asociados.</t>
  </si>
  <si>
    <t>Paginación</t>
  </si>
  <si>
    <t>La numeración principal llega a la página 1340. Los suplementos de los números 5 y 38 continúan la paginación general en las páginas 57–60 y 457–458.</t>
  </si>
  <si>
    <t>Facsímiles</t>
  </si>
  <si>
    <t>Los extraordinarios 9 y 88 presentan un salto de una página respecto de las imágenes PDF; la hoja de fuentes conserva los rangos impresos y cada registro enlaza con la imagen correspondiente.</t>
  </si>
  <si>
    <t>Suplementos independientes</t>
  </si>
  <si>
    <t>Los documentos asociados a los números 35, 44, 87, 89, 90, 91 y 92 tienen paginación independiente y se indican por página del PDF.</t>
  </si>
  <si>
    <t>Anexos especiales</t>
  </si>
  <si>
    <t>El suplemento del número 35 contiene una relación militar procesada por filas; los suplementos 87 y 89–92 son principalmente listas de números y premios.</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</si>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</sst>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7" displayName="IndiceOnomasticoAnual1807" ref="A6:K4989" totalsRowShown="0">
  <autoFilter ref="A6:K4989"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7" displayName="FuentesGacetaAnual1807" ref="A3:E127" totalsRowShown="0">
  <autoFilter ref="A3:E127"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4989"/>
  <sheetViews>
    <sheetView showGridLines="0" tabSelected="1" workbookViewId="0">
      <pane xSplit="2" ySplit="6" topLeftCell="C7" activePane="bottomRight" state="frozen"/>
      <selection pane="topRight"/>
      <selection pane="bottomLeft"/>
      <selection pane="bottomRight" activeCell="C5" sqref="C5"/>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1.95"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4.049999999999997"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16</v>
      </c>
      <c r="C7" s="3" t="s">
        <v>17</v>
      </c>
      <c r="D7" s="3" t="s">
        <v>18</v>
      </c>
      <c r="E7" s="3" t="s">
        <v>19</v>
      </c>
      <c r="F7" s="8">
        <v>41</v>
      </c>
      <c r="G7" s="8">
        <v>485</v>
      </c>
      <c r="H7" s="3" t="s">
        <v>20</v>
      </c>
      <c r="I7" s="3" t="s">
        <v>21</v>
      </c>
      <c r="J7" s="11" t="str">
        <f>HYPERLINK("https://www.boe.es/gazeta/dias/1807/05/12/pdfs/GMD-1807-41.pdf#page=3","Abrir facsímil")</f>
        <v>Abrir facsímil</v>
      </c>
      <c r="K7" s="14" t="s">
        <v>22</v>
      </c>
    </row>
    <row r="8" spans="1:11" ht="42" customHeight="1">
      <c r="A8" s="4" t="s">
        <v>23</v>
      </c>
      <c r="B8" s="5" t="s">
        <v>23</v>
      </c>
      <c r="C8" s="5" t="s">
        <v>24</v>
      </c>
      <c r="D8" s="5" t="s">
        <v>18</v>
      </c>
      <c r="E8" s="5" t="s">
        <v>25</v>
      </c>
      <c r="F8" s="9">
        <v>45</v>
      </c>
      <c r="G8" s="9">
        <v>540</v>
      </c>
      <c r="H8" s="5" t="s">
        <v>20</v>
      </c>
      <c r="I8" s="5" t="s">
        <v>26</v>
      </c>
      <c r="J8" s="12" t="str">
        <f>HYPERLINK("https://www.boe.es/gazeta/dias/1807/05/26/pdfs/GMD-1807-45.pdf#page=10","Abrir facsímil")</f>
        <v>Abrir facsímil</v>
      </c>
      <c r="K8" s="15" t="s">
        <v>22</v>
      </c>
    </row>
    <row r="9" spans="1:11" ht="42" customHeight="1">
      <c r="A9" s="4" t="s">
        <v>27</v>
      </c>
      <c r="B9" s="5" t="s">
        <v>27</v>
      </c>
      <c r="C9" s="5" t="s">
        <v>28</v>
      </c>
      <c r="D9" s="5" t="s">
        <v>29</v>
      </c>
      <c r="E9" s="5" t="s">
        <v>30</v>
      </c>
      <c r="F9" s="9">
        <v>13</v>
      </c>
      <c r="G9" s="9">
        <v>151</v>
      </c>
      <c r="H9" s="5" t="s">
        <v>20</v>
      </c>
      <c r="I9" s="5" t="s">
        <v>31</v>
      </c>
      <c r="J9" s="12" t="str">
        <f>HYPERLINK("https://www.boe.es/gazeta/dias/1807/02/06/pdfs/GMD-1807-13.pdf#page=11","Abrir facsímil")</f>
        <v>Abrir facsímil</v>
      </c>
      <c r="K9" s="15" t="s">
        <v>22</v>
      </c>
    </row>
    <row r="10" spans="1:11" ht="42" customHeight="1">
      <c r="A10" s="4" t="s">
        <v>32</v>
      </c>
      <c r="B10" s="5" t="s">
        <v>33</v>
      </c>
      <c r="C10" s="5" t="s">
        <v>34</v>
      </c>
      <c r="D10" s="5" t="s">
        <v>35</v>
      </c>
      <c r="E10" s="5" t="s">
        <v>36</v>
      </c>
      <c r="F10" s="9">
        <v>36</v>
      </c>
      <c r="G10" s="9">
        <v>429</v>
      </c>
      <c r="H10" s="5" t="s">
        <v>20</v>
      </c>
      <c r="I10" s="5" t="s">
        <v>37</v>
      </c>
      <c r="J10" s="12" t="str">
        <f>HYPERLINK("https://www.boe.es/gazeta/dias/1807/04/24/pdfs/GMD-1807-36.pdf#page=9","Abrir facsímil")</f>
        <v>Abrir facsímil</v>
      </c>
      <c r="K10" s="15" t="s">
        <v>22</v>
      </c>
    </row>
    <row r="11" spans="1:11" ht="42" customHeight="1">
      <c r="A11" s="4" t="s">
        <v>38</v>
      </c>
      <c r="B11" s="5" t="s">
        <v>39</v>
      </c>
      <c r="C11" s="5" t="s">
        <v>28</v>
      </c>
      <c r="D11" s="5" t="s">
        <v>29</v>
      </c>
      <c r="E11" s="5" t="s">
        <v>40</v>
      </c>
      <c r="F11" s="9">
        <v>26</v>
      </c>
      <c r="G11" s="9">
        <v>313</v>
      </c>
      <c r="H11" s="5" t="s">
        <v>20</v>
      </c>
      <c r="I11" s="5" t="s">
        <v>41</v>
      </c>
      <c r="J11" s="12" t="str">
        <f>HYPERLINK("https://www.boe.es/gazeta/dias/1807/03/20/pdfs/GMD-1807-26.pdf#page=9","Abrir facsímil")</f>
        <v>Abrir facsímil</v>
      </c>
      <c r="K11" s="15" t="s">
        <v>22</v>
      </c>
    </row>
    <row r="12" spans="1:11" ht="42" customHeight="1">
      <c r="A12" s="4" t="s">
        <v>38</v>
      </c>
      <c r="B12" s="5" t="s">
        <v>39</v>
      </c>
      <c r="C12" s="5" t="s">
        <v>28</v>
      </c>
      <c r="D12" s="5" t="s">
        <v>29</v>
      </c>
      <c r="E12" s="5" t="s">
        <v>42</v>
      </c>
      <c r="F12" s="9">
        <v>31</v>
      </c>
      <c r="G12" s="9">
        <v>367</v>
      </c>
      <c r="H12" s="5" t="s">
        <v>20</v>
      </c>
      <c r="I12" s="5" t="s">
        <v>43</v>
      </c>
      <c r="J12" s="12" t="str">
        <f>HYPERLINK("https://www.boe.es/gazeta/dias/1807/04/07/pdfs/GMD-1807-31.pdf#page=7","Abrir facsímil")</f>
        <v>Abrir facsímil</v>
      </c>
      <c r="K12" s="15" t="s">
        <v>22</v>
      </c>
    </row>
    <row r="13" spans="1:11" ht="42" customHeight="1">
      <c r="A13" s="4" t="s">
        <v>44</v>
      </c>
      <c r="B13" s="5" t="s">
        <v>45</v>
      </c>
      <c r="C13" s="5" t="s">
        <v>28</v>
      </c>
      <c r="D13" s="5" t="s">
        <v>29</v>
      </c>
      <c r="E13" s="5" t="s">
        <v>46</v>
      </c>
      <c r="F13" s="9">
        <v>78</v>
      </c>
      <c r="G13" s="9">
        <v>904</v>
      </c>
      <c r="H13" s="5" t="s">
        <v>20</v>
      </c>
      <c r="I13" s="5" t="s">
        <v>47</v>
      </c>
      <c r="J13" s="12" t="str">
        <f>HYPERLINK("https://www.boe.es/gazeta/dias/1807/09/01/pdfs/GMD-1807-78.pdf#page=8","Abrir facsímil")</f>
        <v>Abrir facsímil</v>
      </c>
      <c r="K13" s="15" t="s">
        <v>22</v>
      </c>
    </row>
    <row r="14" spans="1:11" ht="42" customHeight="1">
      <c r="A14" s="4" t="s">
        <v>48</v>
      </c>
      <c r="B14" s="5" t="s">
        <v>48</v>
      </c>
      <c r="C14" s="5" t="s">
        <v>49</v>
      </c>
      <c r="D14" s="5" t="s">
        <v>50</v>
      </c>
      <c r="E14" s="5" t="s">
        <v>51</v>
      </c>
      <c r="F14" s="9">
        <v>62</v>
      </c>
      <c r="G14" s="9">
        <v>731</v>
      </c>
      <c r="H14" s="5" t="s">
        <v>20</v>
      </c>
      <c r="I14" s="5" t="s">
        <v>52</v>
      </c>
      <c r="J14" s="12" t="str">
        <f>HYPERLINK("https://www.boe.es/gazeta/dias/1807/07/17/pdfs/GMD-1807-62.pdf#page=5","Abrir facsímil")</f>
        <v>Abrir facsímil</v>
      </c>
      <c r="K14" s="15" t="s">
        <v>22</v>
      </c>
    </row>
    <row r="15" spans="1:11" ht="42" customHeight="1">
      <c r="A15" s="4" t="s">
        <v>48</v>
      </c>
      <c r="B15" s="5" t="s">
        <v>48</v>
      </c>
      <c r="C15" s="5" t="s">
        <v>49</v>
      </c>
      <c r="D15" s="5" t="s">
        <v>50</v>
      </c>
      <c r="E15" s="5" t="s">
        <v>53</v>
      </c>
      <c r="F15" s="9">
        <v>64</v>
      </c>
      <c r="G15" s="9">
        <v>741</v>
      </c>
      <c r="H15" s="5" t="s">
        <v>20</v>
      </c>
      <c r="I15" s="5" t="s">
        <v>54</v>
      </c>
      <c r="J15" s="12" t="str">
        <f>HYPERLINK("https://www.boe.es/gazeta/dias/1807/07/21/pdfs/GMD-1807-64.pdf#page=3","Abrir facsímil")</f>
        <v>Abrir facsímil</v>
      </c>
      <c r="K15" s="15" t="s">
        <v>22</v>
      </c>
    </row>
    <row r="16" spans="1:11" ht="42" customHeight="1">
      <c r="A16" s="4" t="s">
        <v>55</v>
      </c>
      <c r="B16" s="5" t="s">
        <v>56</v>
      </c>
      <c r="C16" s="5" t="s">
        <v>49</v>
      </c>
      <c r="D16" s="5" t="s">
        <v>50</v>
      </c>
      <c r="E16" s="5" t="s">
        <v>51</v>
      </c>
      <c r="F16" s="9">
        <v>62</v>
      </c>
      <c r="G16" s="9">
        <v>731</v>
      </c>
      <c r="H16" s="5" t="s">
        <v>20</v>
      </c>
      <c r="I16" s="5" t="s">
        <v>57</v>
      </c>
      <c r="J16" s="12" t="str">
        <f>HYPERLINK("https://www.boe.es/gazeta/dias/1807/07/17/pdfs/GMD-1807-62.pdf#page=5","Abrir facsímil")</f>
        <v>Abrir facsímil</v>
      </c>
      <c r="K16" s="15" t="s">
        <v>22</v>
      </c>
    </row>
    <row r="17" spans="1:11" ht="42" customHeight="1">
      <c r="A17" s="4" t="s">
        <v>58</v>
      </c>
      <c r="B17" s="5" t="s">
        <v>58</v>
      </c>
      <c r="C17" s="5" t="s">
        <v>28</v>
      </c>
      <c r="D17" s="5" t="s">
        <v>29</v>
      </c>
      <c r="E17" s="5" t="s">
        <v>40</v>
      </c>
      <c r="F17" s="9">
        <v>26</v>
      </c>
      <c r="G17" s="9">
        <v>314</v>
      </c>
      <c r="H17" s="5" t="s">
        <v>20</v>
      </c>
      <c r="I17" s="5" t="s">
        <v>59</v>
      </c>
      <c r="J17" s="12" t="str">
        <f>HYPERLINK("https://www.boe.es/gazeta/dias/1807/03/20/pdfs/GMD-1807-26.pdf#page=10","Abrir facsímil")</f>
        <v>Abrir facsímil</v>
      </c>
      <c r="K17" s="15" t="s">
        <v>22</v>
      </c>
    </row>
    <row r="18" spans="1:11" ht="42" customHeight="1">
      <c r="A18" s="4" t="s">
        <v>60</v>
      </c>
      <c r="B18" s="5" t="s">
        <v>61</v>
      </c>
      <c r="C18" s="5" t="s">
        <v>34</v>
      </c>
      <c r="D18" s="5" t="s">
        <v>35</v>
      </c>
      <c r="E18" s="5" t="s">
        <v>62</v>
      </c>
      <c r="F18" s="9">
        <v>68</v>
      </c>
      <c r="G18" s="9">
        <v>784</v>
      </c>
      <c r="H18" s="5" t="s">
        <v>20</v>
      </c>
      <c r="I18" s="5" t="s">
        <v>63</v>
      </c>
      <c r="J18" s="12" t="str">
        <f>HYPERLINK("https://www.boe.es/gazeta/dias/1807/07/31/pdfs/GMD-1807-68.pdf#page=8","Abrir facsímil")</f>
        <v>Abrir facsímil</v>
      </c>
      <c r="K18" s="15" t="s">
        <v>22</v>
      </c>
    </row>
    <row r="19" spans="1:11" ht="42" customHeight="1">
      <c r="A19" s="4" t="s">
        <v>64</v>
      </c>
      <c r="B19" s="5" t="s">
        <v>64</v>
      </c>
      <c r="C19" s="5" t="s">
        <v>34</v>
      </c>
      <c r="D19" s="5" t="s">
        <v>35</v>
      </c>
      <c r="E19" s="5" t="s">
        <v>65</v>
      </c>
      <c r="F19" s="9">
        <v>52</v>
      </c>
      <c r="G19" s="9">
        <v>613</v>
      </c>
      <c r="H19" s="5" t="s">
        <v>20</v>
      </c>
      <c r="I19" s="5" t="s">
        <v>66</v>
      </c>
      <c r="J19" s="12" t="str">
        <f>HYPERLINK("https://www.boe.es/gazeta/dias/1807/06/19/pdfs/GMD-1807-52.pdf#page=3","Abrir facsímil")</f>
        <v>Abrir facsímil</v>
      </c>
      <c r="K19" s="15" t="s">
        <v>22</v>
      </c>
    </row>
    <row r="20" spans="1:11" ht="42" customHeight="1">
      <c r="A20" s="4" t="s">
        <v>67</v>
      </c>
      <c r="B20" s="5" t="s">
        <v>68</v>
      </c>
      <c r="C20" s="5" t="s">
        <v>69</v>
      </c>
      <c r="D20" s="5" t="s">
        <v>70</v>
      </c>
      <c r="E20" s="5" t="s">
        <v>71</v>
      </c>
      <c r="F20" s="9">
        <v>35</v>
      </c>
      <c r="G20" s="9" t="s">
        <v>72</v>
      </c>
      <c r="H20" s="5" t="s">
        <v>20</v>
      </c>
      <c r="I20" s="5" t="s">
        <v>73</v>
      </c>
      <c r="J20" s="12" t="str">
        <f>HYPERLINK("https://www.boe.es/gazeta/dias/1807/04/21/pdfs/C00001-00004.pdf#page=1","Abrir facsímil")</f>
        <v>Abrir facsímil</v>
      </c>
      <c r="K20" s="15" t="s">
        <v>22</v>
      </c>
    </row>
    <row r="21" spans="1:11" ht="42" customHeight="1">
      <c r="A21" s="4" t="s">
        <v>74</v>
      </c>
      <c r="B21" s="5" t="s">
        <v>75</v>
      </c>
      <c r="C21" s="5" t="s">
        <v>34</v>
      </c>
      <c r="D21" s="5" t="s">
        <v>35</v>
      </c>
      <c r="E21" s="5" t="s">
        <v>76</v>
      </c>
      <c r="F21" s="9">
        <v>7</v>
      </c>
      <c r="G21" s="9">
        <v>74</v>
      </c>
      <c r="H21" s="5" t="s">
        <v>20</v>
      </c>
      <c r="I21" s="5" t="s">
        <v>77</v>
      </c>
      <c r="J21" s="12" t="str">
        <f>HYPERLINK("https://www.boe.es/gazeta/dias/1807/01/20/pdfs/GMD-1807-7.pdf#page=6","Abrir facsímil")</f>
        <v>Abrir facsímil</v>
      </c>
      <c r="K21" s="15" t="s">
        <v>22</v>
      </c>
    </row>
    <row r="22" spans="1:11" ht="42" customHeight="1">
      <c r="A22" s="4" t="s">
        <v>78</v>
      </c>
      <c r="B22" s="5" t="s">
        <v>78</v>
      </c>
      <c r="C22" s="5" t="s">
        <v>49</v>
      </c>
      <c r="D22" s="5" t="s">
        <v>50</v>
      </c>
      <c r="E22" s="5" t="s">
        <v>79</v>
      </c>
      <c r="F22" s="9">
        <v>11</v>
      </c>
      <c r="G22" s="9">
        <v>118</v>
      </c>
      <c r="H22" s="5" t="s">
        <v>20</v>
      </c>
      <c r="I22" s="5" t="s">
        <v>80</v>
      </c>
      <c r="J22" s="12" t="str">
        <f>HYPERLINK("https://www.boe.es/gazeta/dias/1807/01/30/pdfs/GMD-1807-11.pdf#page=2","Abrir facsímil")</f>
        <v>Abrir facsímil</v>
      </c>
      <c r="K22" s="15" t="s">
        <v>22</v>
      </c>
    </row>
    <row r="23" spans="1:11" ht="42" customHeight="1">
      <c r="A23" s="4" t="s">
        <v>78</v>
      </c>
      <c r="B23" s="5" t="s">
        <v>78</v>
      </c>
      <c r="C23" s="5" t="s">
        <v>49</v>
      </c>
      <c r="D23" s="5" t="s">
        <v>50</v>
      </c>
      <c r="E23" s="5" t="s">
        <v>81</v>
      </c>
      <c r="F23" s="9">
        <v>49</v>
      </c>
      <c r="G23" s="9">
        <v>576</v>
      </c>
      <c r="H23" s="5" t="s">
        <v>20</v>
      </c>
      <c r="I23" s="5" t="s">
        <v>82</v>
      </c>
      <c r="J23" s="12" t="str">
        <f>HYPERLINK("https://www.boe.es/gazeta/dias/1807/06/09/pdfs/GMD-1807-49.pdf#page=2","Abrir facsímil")</f>
        <v>Abrir facsímil</v>
      </c>
      <c r="K23" s="15" t="s">
        <v>22</v>
      </c>
    </row>
    <row r="24" spans="1:11" ht="42" customHeight="1">
      <c r="A24" s="4" t="s">
        <v>78</v>
      </c>
      <c r="B24" s="5" t="s">
        <v>78</v>
      </c>
      <c r="C24" s="5" t="s">
        <v>49</v>
      </c>
      <c r="D24" s="5" t="s">
        <v>50</v>
      </c>
      <c r="E24" s="5" t="s">
        <v>83</v>
      </c>
      <c r="F24" s="9">
        <v>50</v>
      </c>
      <c r="G24" s="9">
        <v>590</v>
      </c>
      <c r="H24" s="5" t="s">
        <v>20</v>
      </c>
      <c r="I24" s="5" t="s">
        <v>84</v>
      </c>
      <c r="J24" s="12" t="str">
        <f>HYPERLINK("https://www.boe.es/gazeta/dias/1807/06/12/pdfs/GMD-1807-50.pdf#page=4","Abrir facsímil")</f>
        <v>Abrir facsímil</v>
      </c>
      <c r="K24" s="15" t="s">
        <v>22</v>
      </c>
    </row>
    <row r="25" spans="1:11" ht="42" customHeight="1">
      <c r="A25" s="4" t="s">
        <v>85</v>
      </c>
      <c r="B25" s="5" t="s">
        <v>85</v>
      </c>
      <c r="C25" s="5" t="s">
        <v>49</v>
      </c>
      <c r="D25" s="5" t="s">
        <v>50</v>
      </c>
      <c r="E25" s="5" t="s">
        <v>86</v>
      </c>
      <c r="F25" s="9">
        <v>12</v>
      </c>
      <c r="G25" s="9">
        <v>129</v>
      </c>
      <c r="H25" s="5" t="s">
        <v>20</v>
      </c>
      <c r="I25" s="5" t="s">
        <v>87</v>
      </c>
      <c r="J25" s="12" t="str">
        <f>HYPERLINK("https://www.boe.es/gazeta/dias/1807/02/03/pdfs/GMD-1807-12.pdf#page=1","Abrir facsímil")</f>
        <v>Abrir facsímil</v>
      </c>
      <c r="K25" s="15" t="s">
        <v>22</v>
      </c>
    </row>
    <row r="26" spans="1:11" ht="42" customHeight="1">
      <c r="A26" s="4" t="s">
        <v>88</v>
      </c>
      <c r="B26" s="5" t="s">
        <v>88</v>
      </c>
      <c r="C26" s="5" t="s">
        <v>89</v>
      </c>
      <c r="D26" s="5" t="s">
        <v>90</v>
      </c>
      <c r="E26" s="5" t="s">
        <v>91</v>
      </c>
      <c r="F26" s="9">
        <v>109</v>
      </c>
      <c r="G26" s="9">
        <v>1276</v>
      </c>
      <c r="H26" s="5" t="s">
        <v>20</v>
      </c>
      <c r="I26" s="5" t="s">
        <v>92</v>
      </c>
      <c r="J26" s="12" t="str">
        <f>HYPERLINK("https://www.boe.es/gazeta/dias/1807/12/08/pdfs/GMD-1807-109.pdf#page=12","Abrir facsímil")</f>
        <v>Abrir facsímil</v>
      </c>
      <c r="K26" s="15" t="s">
        <v>22</v>
      </c>
    </row>
    <row r="27" spans="1:11" ht="42" customHeight="1">
      <c r="A27" s="4" t="s">
        <v>93</v>
      </c>
      <c r="B27" s="5" t="s">
        <v>93</v>
      </c>
      <c r="C27" s="5" t="s">
        <v>49</v>
      </c>
      <c r="D27" s="5" t="s">
        <v>50</v>
      </c>
      <c r="E27" s="5" t="s">
        <v>94</v>
      </c>
      <c r="F27" s="9">
        <v>22</v>
      </c>
      <c r="G27" s="9">
        <v>251</v>
      </c>
      <c r="H27" s="5" t="s">
        <v>20</v>
      </c>
      <c r="I27" s="5" t="s">
        <v>95</v>
      </c>
      <c r="J27" s="12" t="str">
        <f>HYPERLINK("https://www.boe.es/gazeta/dias/1807/03/06/pdfs/GMD-1807-22.pdf#page=3","Abrir facsímil")</f>
        <v>Abrir facsímil</v>
      </c>
      <c r="K27" s="15" t="s">
        <v>22</v>
      </c>
    </row>
    <row r="28" spans="1:11" ht="42" customHeight="1">
      <c r="A28" s="4" t="s">
        <v>96</v>
      </c>
      <c r="B28" s="5" t="s">
        <v>97</v>
      </c>
      <c r="C28" s="5" t="s">
        <v>89</v>
      </c>
      <c r="D28" s="5" t="s">
        <v>90</v>
      </c>
      <c r="E28" s="5" t="s">
        <v>98</v>
      </c>
      <c r="F28" s="9">
        <v>34</v>
      </c>
      <c r="G28" s="9">
        <v>404</v>
      </c>
      <c r="H28" s="5" t="s">
        <v>20</v>
      </c>
      <c r="I28" s="5" t="s">
        <v>99</v>
      </c>
      <c r="J28" s="12" t="str">
        <f>HYPERLINK("https://www.boe.es/gazeta/dias/1807/04/17/pdfs/GMD-1807-34.pdf#page=8","Abrir facsímil")</f>
        <v>Abrir facsímil</v>
      </c>
      <c r="K28" s="15" t="s">
        <v>22</v>
      </c>
    </row>
    <row r="29" spans="1:11" ht="42" customHeight="1">
      <c r="A29" s="4" t="s">
        <v>100</v>
      </c>
      <c r="B29" s="5" t="s">
        <v>100</v>
      </c>
      <c r="C29" s="5" t="s">
        <v>28</v>
      </c>
      <c r="D29" s="5" t="s">
        <v>29</v>
      </c>
      <c r="E29" s="5" t="s">
        <v>101</v>
      </c>
      <c r="F29" s="9">
        <v>23</v>
      </c>
      <c r="G29" s="9">
        <v>273</v>
      </c>
      <c r="H29" s="5" t="s">
        <v>20</v>
      </c>
      <c r="I29" s="5" t="s">
        <v>102</v>
      </c>
      <c r="J29" s="12" t="str">
        <f>HYPERLINK("https://www.boe.es/gazeta/dias/1807/03/10/pdfs/GMD-1807-23.pdf#page=13","Abrir facsímil")</f>
        <v>Abrir facsímil</v>
      </c>
      <c r="K29" s="15" t="s">
        <v>22</v>
      </c>
    </row>
    <row r="30" spans="1:11" ht="42" customHeight="1">
      <c r="A30" s="4" t="s">
        <v>103</v>
      </c>
      <c r="B30" s="5" t="s">
        <v>103</v>
      </c>
      <c r="C30" s="5" t="s">
        <v>28</v>
      </c>
      <c r="D30" s="5" t="s">
        <v>29</v>
      </c>
      <c r="E30" s="5" t="s">
        <v>104</v>
      </c>
      <c r="F30" s="9">
        <v>25</v>
      </c>
      <c r="G30" s="9">
        <v>300</v>
      </c>
      <c r="H30" s="5" t="s">
        <v>20</v>
      </c>
      <c r="I30" s="5" t="s">
        <v>105</v>
      </c>
      <c r="J30" s="12" t="str">
        <f>HYPERLINK("https://www.boe.es/gazeta/dias/1807/03/17/pdfs/GMD-1807-25.pdf#page=8","Abrir facsímil")</f>
        <v>Abrir facsímil</v>
      </c>
      <c r="K30" s="15" t="s">
        <v>22</v>
      </c>
    </row>
    <row r="31" spans="1:11" ht="42" customHeight="1">
      <c r="A31" s="4" t="s">
        <v>103</v>
      </c>
      <c r="B31" s="5" t="s">
        <v>103</v>
      </c>
      <c r="C31" s="5" t="s">
        <v>28</v>
      </c>
      <c r="D31" s="5" t="s">
        <v>29</v>
      </c>
      <c r="E31" s="5" t="s">
        <v>106</v>
      </c>
      <c r="F31" s="9">
        <v>39</v>
      </c>
      <c r="G31" s="9">
        <v>465</v>
      </c>
      <c r="H31" s="5" t="s">
        <v>20</v>
      </c>
      <c r="I31" s="5" t="s">
        <v>107</v>
      </c>
      <c r="J31" s="12" t="str">
        <f>HYPERLINK("https://www.boe.es/gazeta/dias/1807/05/05/pdfs/GMD-1807-39.pdf#page=7","Abrir facsímil")</f>
        <v>Abrir facsímil</v>
      </c>
      <c r="K31" s="15" t="s">
        <v>22</v>
      </c>
    </row>
    <row r="32" spans="1:11" ht="42" customHeight="1">
      <c r="A32" s="4" t="s">
        <v>103</v>
      </c>
      <c r="B32" s="5" t="s">
        <v>103</v>
      </c>
      <c r="C32" s="5" t="s">
        <v>34</v>
      </c>
      <c r="D32" s="5" t="s">
        <v>35</v>
      </c>
      <c r="E32" s="5" t="s">
        <v>25</v>
      </c>
      <c r="F32" s="9">
        <v>45</v>
      </c>
      <c r="G32" s="9">
        <v>536</v>
      </c>
      <c r="H32" s="5" t="s">
        <v>20</v>
      </c>
      <c r="I32" s="5" t="s">
        <v>108</v>
      </c>
      <c r="J32" s="12" t="str">
        <f>HYPERLINK("https://www.boe.es/gazeta/dias/1807/05/26/pdfs/GMD-1807-45.pdf#page=6","Abrir facsímil")</f>
        <v>Abrir facsímil</v>
      </c>
      <c r="K32" s="15" t="s">
        <v>22</v>
      </c>
    </row>
    <row r="33" spans="1:11" ht="42" customHeight="1">
      <c r="A33" s="4" t="s">
        <v>103</v>
      </c>
      <c r="B33" s="5" t="s">
        <v>103</v>
      </c>
      <c r="C33" s="5" t="s">
        <v>28</v>
      </c>
      <c r="D33" s="5" t="s">
        <v>29</v>
      </c>
      <c r="E33" s="5" t="s">
        <v>109</v>
      </c>
      <c r="F33" s="9">
        <v>58</v>
      </c>
      <c r="G33" s="9">
        <v>688</v>
      </c>
      <c r="H33" s="5" t="s">
        <v>20</v>
      </c>
      <c r="I33" s="5" t="s">
        <v>110</v>
      </c>
      <c r="J33" s="12" t="str">
        <f>HYPERLINK("https://www.boe.es/gazeta/dias/1807/07/07/pdfs/GMD-1807-58.pdf#page=6","Abrir facsímil")</f>
        <v>Abrir facsímil</v>
      </c>
      <c r="K33" s="15" t="s">
        <v>22</v>
      </c>
    </row>
    <row r="34" spans="1:11" ht="42" customHeight="1">
      <c r="A34" s="4" t="s">
        <v>103</v>
      </c>
      <c r="B34" s="5" t="s">
        <v>103</v>
      </c>
      <c r="C34" s="5" t="s">
        <v>28</v>
      </c>
      <c r="D34" s="5" t="s">
        <v>29</v>
      </c>
      <c r="E34" s="5" t="s">
        <v>111</v>
      </c>
      <c r="F34" s="9">
        <v>90</v>
      </c>
      <c r="G34" s="9">
        <v>1043</v>
      </c>
      <c r="H34" s="5" t="s">
        <v>20</v>
      </c>
      <c r="I34" s="5" t="s">
        <v>112</v>
      </c>
      <c r="J34" s="12" t="str">
        <f>HYPERLINK("https://www.boe.es/gazeta/dias/1807/10/06/pdfs/GMD-1807-90.pdf#page=11","Abrir facsímil")</f>
        <v>Abrir facsímil</v>
      </c>
      <c r="K34" s="15" t="s">
        <v>22</v>
      </c>
    </row>
    <row r="35" spans="1:11" ht="42" customHeight="1">
      <c r="A35" s="4" t="s">
        <v>113</v>
      </c>
      <c r="B35" s="5" t="s">
        <v>113</v>
      </c>
      <c r="C35" s="5" t="s">
        <v>34</v>
      </c>
      <c r="D35" s="5" t="s">
        <v>35</v>
      </c>
      <c r="E35" s="5" t="s">
        <v>114</v>
      </c>
      <c r="F35" s="9">
        <v>46</v>
      </c>
      <c r="G35" s="9">
        <v>548</v>
      </c>
      <c r="H35" s="5" t="s">
        <v>20</v>
      </c>
      <c r="I35" s="5" t="s">
        <v>115</v>
      </c>
      <c r="J35" s="12" t="str">
        <f>HYPERLINK("https://www.boe.es/gazeta/dias/1807/05/29/pdfs/GMD-1807-46.pdf#page=6","Abrir facsímil")</f>
        <v>Abrir facsímil</v>
      </c>
      <c r="K35" s="15" t="s">
        <v>22</v>
      </c>
    </row>
    <row r="36" spans="1:11" ht="42" customHeight="1">
      <c r="A36" s="4" t="s">
        <v>116</v>
      </c>
      <c r="B36" s="5" t="s">
        <v>116</v>
      </c>
      <c r="C36" s="5" t="s">
        <v>34</v>
      </c>
      <c r="D36" s="5" t="s">
        <v>35</v>
      </c>
      <c r="E36" s="5" t="s">
        <v>86</v>
      </c>
      <c r="F36" s="9">
        <v>12</v>
      </c>
      <c r="G36" s="9">
        <v>136</v>
      </c>
      <c r="H36" s="5" t="s">
        <v>20</v>
      </c>
      <c r="I36" s="5" t="s">
        <v>117</v>
      </c>
      <c r="J36" s="12" t="str">
        <f>HYPERLINK("https://www.boe.es/gazeta/dias/1807/02/03/pdfs/GMD-1807-12.pdf#page=8","Abrir facsímil")</f>
        <v>Abrir facsímil</v>
      </c>
      <c r="K36" s="15" t="s">
        <v>22</v>
      </c>
    </row>
    <row r="37" spans="1:11" ht="42" customHeight="1">
      <c r="A37" s="4" t="s">
        <v>118</v>
      </c>
      <c r="B37" s="5" t="s">
        <v>119</v>
      </c>
      <c r="C37" s="5" t="s">
        <v>34</v>
      </c>
      <c r="D37" s="5" t="s">
        <v>35</v>
      </c>
      <c r="E37" s="5" t="s">
        <v>120</v>
      </c>
      <c r="F37" s="9">
        <v>10</v>
      </c>
      <c r="G37" s="9">
        <v>111</v>
      </c>
      <c r="H37" s="5" t="s">
        <v>20</v>
      </c>
      <c r="I37" s="5" t="s">
        <v>121</v>
      </c>
      <c r="J37" s="12" t="str">
        <f>HYPERLINK("https://www.boe.es/gazeta/dias/1807/01/27/pdfs/GMD-1807-10.pdf#page=7","Abrir facsímil")</f>
        <v>Abrir facsímil</v>
      </c>
      <c r="K37" s="15" t="s">
        <v>22</v>
      </c>
    </row>
    <row r="38" spans="1:11" ht="42" customHeight="1">
      <c r="A38" s="4" t="s">
        <v>122</v>
      </c>
      <c r="B38" s="5" t="s">
        <v>122</v>
      </c>
      <c r="C38" s="5" t="s">
        <v>49</v>
      </c>
      <c r="D38" s="5" t="s">
        <v>50</v>
      </c>
      <c r="E38" s="5" t="s">
        <v>123</v>
      </c>
      <c r="F38" s="9">
        <v>70</v>
      </c>
      <c r="G38" s="9">
        <v>797</v>
      </c>
      <c r="H38" s="5" t="s">
        <v>20</v>
      </c>
      <c r="I38" s="5" t="s">
        <v>124</v>
      </c>
      <c r="J38" s="12" t="str">
        <f>HYPERLINK("https://www.boe.es/gazeta/dias/1807/08/04/pdfs/GMD-1807-70.pdf#page=1","Abrir facsímil")</f>
        <v>Abrir facsímil</v>
      </c>
      <c r="K38" s="15" t="s">
        <v>22</v>
      </c>
    </row>
    <row r="39" spans="1:11" ht="42" customHeight="1">
      <c r="A39" s="4" t="s">
        <v>125</v>
      </c>
      <c r="B39" s="5" t="s">
        <v>126</v>
      </c>
      <c r="C39" s="5" t="s">
        <v>28</v>
      </c>
      <c r="D39" s="5" t="s">
        <v>29</v>
      </c>
      <c r="E39" s="5" t="s">
        <v>127</v>
      </c>
      <c r="F39" s="9">
        <v>81</v>
      </c>
      <c r="G39" s="9">
        <v>945</v>
      </c>
      <c r="H39" s="5" t="s">
        <v>20</v>
      </c>
      <c r="I39" s="5" t="s">
        <v>128</v>
      </c>
      <c r="J39" s="12" t="str">
        <f>HYPERLINK("https://www.boe.es/gazeta/dias/1807/09/11/pdfs/GMD-1807-81.pdf#page=9","Abrir facsímil")</f>
        <v>Abrir facsímil</v>
      </c>
      <c r="K39" s="15" t="s">
        <v>22</v>
      </c>
    </row>
    <row r="40" spans="1:11" ht="42" customHeight="1">
      <c r="A40" s="4" t="s">
        <v>129</v>
      </c>
      <c r="B40" s="5" t="s">
        <v>130</v>
      </c>
      <c r="C40" s="5" t="s">
        <v>28</v>
      </c>
      <c r="D40" s="5" t="s">
        <v>29</v>
      </c>
      <c r="E40" s="5" t="s">
        <v>131</v>
      </c>
      <c r="F40" s="9">
        <v>28</v>
      </c>
      <c r="G40" s="9">
        <v>333</v>
      </c>
      <c r="H40" s="5" t="s">
        <v>20</v>
      </c>
      <c r="I40" s="5" t="s">
        <v>132</v>
      </c>
      <c r="J40" s="12" t="str">
        <f>HYPERLINK("https://www.boe.es/gazeta/dias/1807/03/27/pdfs/GMD-1807-28.pdf#page=5","Abrir facsímil")</f>
        <v>Abrir facsímil</v>
      </c>
      <c r="K40" s="15" t="s">
        <v>22</v>
      </c>
    </row>
    <row r="41" spans="1:11" ht="42" customHeight="1">
      <c r="A41" s="4" t="s">
        <v>133</v>
      </c>
      <c r="B41" s="5" t="s">
        <v>134</v>
      </c>
      <c r="C41" s="5" t="s">
        <v>28</v>
      </c>
      <c r="D41" s="5" t="s">
        <v>29</v>
      </c>
      <c r="E41" s="5" t="s">
        <v>135</v>
      </c>
      <c r="F41" s="9">
        <v>80</v>
      </c>
      <c r="G41" s="9">
        <v>933</v>
      </c>
      <c r="H41" s="5" t="s">
        <v>20</v>
      </c>
      <c r="I41" s="5" t="s">
        <v>136</v>
      </c>
      <c r="J41" s="12" t="str">
        <f>HYPERLINK("https://www.boe.es/gazeta/dias/1807/09/08/pdfs/GMD-1807-80.pdf#page=9","Abrir facsímil")</f>
        <v>Abrir facsímil</v>
      </c>
      <c r="K41" s="15" t="s">
        <v>22</v>
      </c>
    </row>
    <row r="42" spans="1:11" ht="42" customHeight="1">
      <c r="A42" s="4" t="s">
        <v>137</v>
      </c>
      <c r="B42" s="5" t="s">
        <v>138</v>
      </c>
      <c r="C42" s="5" t="s">
        <v>34</v>
      </c>
      <c r="D42" s="5" t="s">
        <v>35</v>
      </c>
      <c r="E42" s="5" t="s">
        <v>139</v>
      </c>
      <c r="F42" s="9">
        <v>110</v>
      </c>
      <c r="G42" s="9">
        <v>1285</v>
      </c>
      <c r="H42" s="5" t="s">
        <v>20</v>
      </c>
      <c r="I42" s="5" t="s">
        <v>140</v>
      </c>
      <c r="J42" s="12" t="str">
        <f>HYPERLINK("https://www.boe.es/gazeta/dias/1807/12/11/pdfs/GMD-1807-110.pdf#page=9","Abrir facsímil")</f>
        <v>Abrir facsímil</v>
      </c>
      <c r="K42" s="15" t="s">
        <v>22</v>
      </c>
    </row>
    <row r="43" spans="1:11" ht="42" customHeight="1">
      <c r="A43" s="4" t="s">
        <v>141</v>
      </c>
      <c r="B43" s="5" t="s">
        <v>142</v>
      </c>
      <c r="C43" s="5" t="s">
        <v>17</v>
      </c>
      <c r="D43" s="5" t="s">
        <v>18</v>
      </c>
      <c r="E43" s="5" t="s">
        <v>19</v>
      </c>
      <c r="F43" s="9">
        <v>41</v>
      </c>
      <c r="G43" s="9">
        <v>489</v>
      </c>
      <c r="H43" s="5" t="s">
        <v>20</v>
      </c>
      <c r="I43" s="5" t="s">
        <v>143</v>
      </c>
      <c r="J43" s="12" t="str">
        <f>HYPERLINK("https://www.boe.es/gazeta/dias/1807/05/12/pdfs/GMD-1807-41.pdf#page=7","Abrir facsímil")</f>
        <v>Abrir facsímil</v>
      </c>
      <c r="K43" s="15" t="s">
        <v>22</v>
      </c>
    </row>
    <row r="44" spans="1:11" ht="42" customHeight="1">
      <c r="A44" s="4" t="s">
        <v>144</v>
      </c>
      <c r="B44" s="5" t="s">
        <v>145</v>
      </c>
      <c r="C44" s="5" t="s">
        <v>17</v>
      </c>
      <c r="D44" s="5" t="s">
        <v>18</v>
      </c>
      <c r="E44" s="5" t="s">
        <v>109</v>
      </c>
      <c r="F44" s="9">
        <v>58</v>
      </c>
      <c r="G44" s="9">
        <v>689</v>
      </c>
      <c r="H44" s="5" t="s">
        <v>20</v>
      </c>
      <c r="I44" s="5" t="s">
        <v>146</v>
      </c>
      <c r="J44" s="12" t="str">
        <f>HYPERLINK("https://www.boe.es/gazeta/dias/1807/07/07/pdfs/GMD-1807-58.pdf#page=7","Abrir facsímil")</f>
        <v>Abrir facsímil</v>
      </c>
      <c r="K44" s="15" t="s">
        <v>22</v>
      </c>
    </row>
    <row r="45" spans="1:11" ht="42" customHeight="1">
      <c r="A45" s="4" t="s">
        <v>147</v>
      </c>
      <c r="B45" s="5" t="s">
        <v>148</v>
      </c>
      <c r="C45" s="5" t="s">
        <v>34</v>
      </c>
      <c r="D45" s="5" t="s">
        <v>35</v>
      </c>
      <c r="E45" s="5" t="s">
        <v>149</v>
      </c>
      <c r="F45" s="9">
        <v>38</v>
      </c>
      <c r="G45" s="9">
        <v>450</v>
      </c>
      <c r="H45" s="5" t="s">
        <v>20</v>
      </c>
      <c r="I45" s="5" t="s">
        <v>150</v>
      </c>
      <c r="J45" s="12" t="str">
        <f>HYPERLINK("https://www.boe.es/gazeta/dias/1807/05/01/pdfs/GMD-1807-38.pdf#page=6","Abrir facsímil")</f>
        <v>Abrir facsímil</v>
      </c>
      <c r="K45" s="15" t="s">
        <v>22</v>
      </c>
    </row>
    <row r="46" spans="1:11" ht="42" customHeight="1">
      <c r="A46" s="4" t="s">
        <v>151</v>
      </c>
      <c r="B46" s="5" t="s">
        <v>151</v>
      </c>
      <c r="C46" s="5" t="s">
        <v>28</v>
      </c>
      <c r="D46" s="5" t="s">
        <v>29</v>
      </c>
      <c r="E46" s="5" t="s">
        <v>152</v>
      </c>
      <c r="F46" s="9">
        <v>61</v>
      </c>
      <c r="G46" s="9">
        <v>723</v>
      </c>
      <c r="H46" s="5" t="s">
        <v>20</v>
      </c>
      <c r="I46" s="5" t="s">
        <v>153</v>
      </c>
      <c r="J46" s="12" t="str">
        <f>HYPERLINK("https://www.boe.es/gazeta/dias/1807/07/14/pdfs/GMD-1807-61.pdf#page=9","Abrir facsímil")</f>
        <v>Abrir facsímil</v>
      </c>
      <c r="K46" s="15" t="s">
        <v>22</v>
      </c>
    </row>
    <row r="47" spans="1:11" ht="42" customHeight="1">
      <c r="A47" s="4" t="s">
        <v>154</v>
      </c>
      <c r="B47" s="5" t="s">
        <v>155</v>
      </c>
      <c r="C47" s="5" t="s">
        <v>28</v>
      </c>
      <c r="D47" s="5" t="s">
        <v>29</v>
      </c>
      <c r="E47" s="5" t="s">
        <v>156</v>
      </c>
      <c r="F47" s="9">
        <v>74</v>
      </c>
      <c r="G47" s="9">
        <v>853</v>
      </c>
      <c r="H47" s="5" t="s">
        <v>20</v>
      </c>
      <c r="I47" s="5" t="s">
        <v>157</v>
      </c>
      <c r="J47" s="12" t="str">
        <f>HYPERLINK("https://www.boe.es/gazeta/dias/1807/08/18/pdfs/GMD-1807-74.pdf#page=5","Abrir facsímil")</f>
        <v>Abrir facsímil</v>
      </c>
      <c r="K47" s="15" t="s">
        <v>22</v>
      </c>
    </row>
    <row r="48" spans="1:11" ht="42" customHeight="1">
      <c r="A48" s="4" t="s">
        <v>158</v>
      </c>
      <c r="B48" s="5" t="s">
        <v>159</v>
      </c>
      <c r="C48" s="5" t="s">
        <v>17</v>
      </c>
      <c r="D48" s="5" t="s">
        <v>18</v>
      </c>
      <c r="E48" s="5" t="s">
        <v>149</v>
      </c>
      <c r="F48" s="9">
        <v>38</v>
      </c>
      <c r="G48" s="9">
        <v>450</v>
      </c>
      <c r="H48" s="5" t="s">
        <v>20</v>
      </c>
      <c r="I48" s="5" t="s">
        <v>160</v>
      </c>
      <c r="J48" s="12" t="str">
        <f>HYPERLINK("https://www.boe.es/gazeta/dias/1807/05/01/pdfs/GMD-1807-38.pdf#page=6","Abrir facsímil")</f>
        <v>Abrir facsímil</v>
      </c>
      <c r="K48" s="15" t="s">
        <v>22</v>
      </c>
    </row>
    <row r="49" spans="1:11" ht="42" customHeight="1">
      <c r="A49" s="4" t="s">
        <v>161</v>
      </c>
      <c r="B49" s="5" t="s">
        <v>162</v>
      </c>
      <c r="C49" s="5" t="s">
        <v>34</v>
      </c>
      <c r="D49" s="5" t="s">
        <v>35</v>
      </c>
      <c r="E49" s="5" t="s">
        <v>111</v>
      </c>
      <c r="F49" s="9">
        <v>90</v>
      </c>
      <c r="G49" s="9">
        <v>1046</v>
      </c>
      <c r="H49" s="5" t="s">
        <v>20</v>
      </c>
      <c r="I49" s="5" t="s">
        <v>163</v>
      </c>
      <c r="J49" s="12" t="str">
        <f>HYPERLINK("https://www.boe.es/gazeta/dias/1807/10/06/pdfs/GMD-1807-90.pdf#page=14","Abrir facsímil")</f>
        <v>Abrir facsímil</v>
      </c>
      <c r="K49" s="15" t="s">
        <v>22</v>
      </c>
    </row>
    <row r="50" spans="1:11" ht="42" customHeight="1">
      <c r="A50" s="4" t="s">
        <v>164</v>
      </c>
      <c r="B50" s="5" t="s">
        <v>164</v>
      </c>
      <c r="C50" s="5" t="s">
        <v>24</v>
      </c>
      <c r="D50" s="5" t="s">
        <v>18</v>
      </c>
      <c r="E50" s="5" t="s">
        <v>101</v>
      </c>
      <c r="F50" s="9">
        <v>23</v>
      </c>
      <c r="G50" s="9">
        <v>274</v>
      </c>
      <c r="H50" s="5" t="s">
        <v>20</v>
      </c>
      <c r="I50" s="5" t="s">
        <v>165</v>
      </c>
      <c r="J50" s="12" t="str">
        <f>HYPERLINK("https://www.boe.es/gazeta/dias/1807/03/10/pdfs/GMD-1807-23.pdf#page=14","Abrir facsímil")</f>
        <v>Abrir facsímil</v>
      </c>
      <c r="K50" s="15" t="s">
        <v>22</v>
      </c>
    </row>
    <row r="51" spans="1:11" ht="42" customHeight="1">
      <c r="A51" s="4" t="s">
        <v>166</v>
      </c>
      <c r="B51" s="5" t="s">
        <v>166</v>
      </c>
      <c r="C51" s="5" t="s">
        <v>34</v>
      </c>
      <c r="D51" s="5" t="s">
        <v>35</v>
      </c>
      <c r="E51" s="5" t="s">
        <v>167</v>
      </c>
      <c r="F51" s="9">
        <v>77</v>
      </c>
      <c r="G51" s="9">
        <v>892</v>
      </c>
      <c r="H51" s="5" t="s">
        <v>20</v>
      </c>
      <c r="I51" s="5" t="s">
        <v>168</v>
      </c>
      <c r="J51" s="12" t="str">
        <f>HYPERLINK("https://www.boe.es/gazeta/dias/1807/08/28/pdfs/GMD-1807-77.pdf#page=8","Abrir facsímil")</f>
        <v>Abrir facsímil</v>
      </c>
      <c r="K51" s="15" t="s">
        <v>22</v>
      </c>
    </row>
    <row r="52" spans="1:11" ht="42" customHeight="1">
      <c r="A52" s="4" t="s">
        <v>169</v>
      </c>
      <c r="B52" s="5" t="s">
        <v>170</v>
      </c>
      <c r="C52" s="5" t="s">
        <v>28</v>
      </c>
      <c r="D52" s="5" t="s">
        <v>29</v>
      </c>
      <c r="E52" s="5" t="s">
        <v>94</v>
      </c>
      <c r="F52" s="9">
        <v>22</v>
      </c>
      <c r="G52" s="9">
        <v>255</v>
      </c>
      <c r="H52" s="5" t="s">
        <v>20</v>
      </c>
      <c r="I52" s="5" t="s">
        <v>171</v>
      </c>
      <c r="J52" s="12" t="str">
        <f>HYPERLINK("https://www.boe.es/gazeta/dias/1807/03/06/pdfs/GMD-1807-22.pdf#page=7","Abrir facsímil")</f>
        <v>Abrir facsímil</v>
      </c>
      <c r="K52" s="15" t="s">
        <v>22</v>
      </c>
    </row>
    <row r="53" spans="1:11" ht="42" customHeight="1">
      <c r="A53" s="4" t="s">
        <v>172</v>
      </c>
      <c r="B53" s="5" t="s">
        <v>173</v>
      </c>
      <c r="C53" s="5" t="s">
        <v>17</v>
      </c>
      <c r="D53" s="5" t="s">
        <v>18</v>
      </c>
      <c r="E53" s="5" t="s">
        <v>42</v>
      </c>
      <c r="F53" s="9">
        <v>31</v>
      </c>
      <c r="G53" s="9">
        <v>368</v>
      </c>
      <c r="H53" s="5" t="s">
        <v>20</v>
      </c>
      <c r="I53" s="5" t="s">
        <v>174</v>
      </c>
      <c r="J53" s="12" t="str">
        <f>HYPERLINK("https://www.boe.es/gazeta/dias/1807/04/07/pdfs/GMD-1807-31.pdf#page=8","Abrir facsímil")</f>
        <v>Abrir facsímil</v>
      </c>
      <c r="K53" s="15" t="s">
        <v>22</v>
      </c>
    </row>
    <row r="54" spans="1:11" ht="42" customHeight="1">
      <c r="A54" s="4" t="s">
        <v>175</v>
      </c>
      <c r="B54" s="5" t="s">
        <v>175</v>
      </c>
      <c r="C54" s="5" t="s">
        <v>34</v>
      </c>
      <c r="D54" s="5" t="s">
        <v>35</v>
      </c>
      <c r="E54" s="5" t="s">
        <v>176</v>
      </c>
      <c r="F54" s="9">
        <v>17</v>
      </c>
      <c r="G54" s="9">
        <v>195</v>
      </c>
      <c r="H54" s="5" t="s">
        <v>20</v>
      </c>
      <c r="I54" s="5" t="s">
        <v>177</v>
      </c>
      <c r="J54" s="12" t="str">
        <f>HYPERLINK("https://www.boe.es/gazeta/dias/1807/02/20/pdfs/GMD-1807-17.pdf#page=7","Abrir facsímil")</f>
        <v>Abrir facsímil</v>
      </c>
      <c r="K54" s="15" t="s">
        <v>22</v>
      </c>
    </row>
    <row r="55" spans="1:11" ht="42" customHeight="1">
      <c r="A55" s="4" t="s">
        <v>178</v>
      </c>
      <c r="B55" s="5" t="s">
        <v>178</v>
      </c>
      <c r="C55" s="5" t="s">
        <v>24</v>
      </c>
      <c r="D55" s="5" t="s">
        <v>18</v>
      </c>
      <c r="E55" s="5" t="s">
        <v>179</v>
      </c>
      <c r="F55" s="9">
        <v>100</v>
      </c>
      <c r="G55" s="9">
        <v>1167</v>
      </c>
      <c r="H55" s="5" t="s">
        <v>20</v>
      </c>
      <c r="I55" s="5" t="s">
        <v>180</v>
      </c>
      <c r="J55" s="12" t="str">
        <f>HYPERLINK("https://www.boe.es/gazeta/dias/1807/11/10/pdfs/GMD-1807-100.pdf#page=11","Abrir facsímil")</f>
        <v>Abrir facsímil</v>
      </c>
      <c r="K55" s="15" t="s">
        <v>22</v>
      </c>
    </row>
    <row r="56" spans="1:11" ht="42" customHeight="1">
      <c r="A56" s="4" t="s">
        <v>181</v>
      </c>
      <c r="B56" s="5" t="s">
        <v>182</v>
      </c>
      <c r="C56" s="5" t="s">
        <v>34</v>
      </c>
      <c r="D56" s="5" t="s">
        <v>35</v>
      </c>
      <c r="E56" s="5" t="s">
        <v>183</v>
      </c>
      <c r="F56" s="9">
        <v>1</v>
      </c>
      <c r="G56" s="9">
        <v>11</v>
      </c>
      <c r="H56" s="5" t="s">
        <v>20</v>
      </c>
      <c r="I56" s="5" t="s">
        <v>184</v>
      </c>
      <c r="J56" s="12" t="str">
        <f>HYPERLINK("https://www.boe.es/gazeta/dias/1807/01/02/pdfs/GMD-1807-1.pdf#page=11","Abrir facsímil")</f>
        <v>Abrir facsímil</v>
      </c>
      <c r="K56" s="15" t="s">
        <v>22</v>
      </c>
    </row>
    <row r="57" spans="1:11" ht="42" customHeight="1">
      <c r="A57" s="4" t="s">
        <v>185</v>
      </c>
      <c r="B57" s="5" t="s">
        <v>185</v>
      </c>
      <c r="C57" s="5" t="s">
        <v>34</v>
      </c>
      <c r="D57" s="5" t="s">
        <v>35</v>
      </c>
      <c r="E57" s="5" t="s">
        <v>186</v>
      </c>
      <c r="F57" s="9">
        <v>72</v>
      </c>
      <c r="G57" s="9">
        <v>828</v>
      </c>
      <c r="H57" s="5" t="s">
        <v>20</v>
      </c>
      <c r="I57" s="5" t="s">
        <v>187</v>
      </c>
      <c r="J57" s="12" t="str">
        <f>HYPERLINK("https://www.boe.es/gazeta/dias/1807/08/11/pdfs/GMD-1807-72.pdf#page=8","Abrir facsímil")</f>
        <v>Abrir facsímil</v>
      </c>
      <c r="K57" s="15" t="s">
        <v>22</v>
      </c>
    </row>
    <row r="58" spans="1:11" ht="42" customHeight="1">
      <c r="A58" s="4" t="s">
        <v>188</v>
      </c>
      <c r="B58" s="5" t="s">
        <v>189</v>
      </c>
      <c r="C58" s="5" t="s">
        <v>34</v>
      </c>
      <c r="D58" s="5" t="s">
        <v>35</v>
      </c>
      <c r="E58" s="5" t="s">
        <v>190</v>
      </c>
      <c r="F58" s="9">
        <v>37</v>
      </c>
      <c r="G58" s="9">
        <v>440</v>
      </c>
      <c r="H58" s="5" t="s">
        <v>20</v>
      </c>
      <c r="I58" s="5" t="s">
        <v>191</v>
      </c>
      <c r="J58" s="12" t="str">
        <f>HYPERLINK("https://www.boe.es/gazeta/dias/1807/04/28/pdfs/GMD-1807-37.pdf#page=8","Abrir facsímil")</f>
        <v>Abrir facsímil</v>
      </c>
      <c r="K58" s="15" t="s">
        <v>22</v>
      </c>
    </row>
    <row r="59" spans="1:11" ht="42" customHeight="1">
      <c r="A59" s="4" t="s">
        <v>192</v>
      </c>
      <c r="B59" s="5" t="s">
        <v>193</v>
      </c>
      <c r="C59" s="5" t="s">
        <v>34</v>
      </c>
      <c r="D59" s="5" t="s">
        <v>35</v>
      </c>
      <c r="E59" s="5" t="s">
        <v>183</v>
      </c>
      <c r="F59" s="9">
        <v>1</v>
      </c>
      <c r="G59" s="9">
        <v>11</v>
      </c>
      <c r="H59" s="5" t="s">
        <v>20</v>
      </c>
      <c r="I59" s="5" t="s">
        <v>194</v>
      </c>
      <c r="J59" s="12" t="str">
        <f>HYPERLINK("https://www.boe.es/gazeta/dias/1807/01/02/pdfs/GMD-1807-1.pdf#page=11","Abrir facsímil")</f>
        <v>Abrir facsímil</v>
      </c>
      <c r="K59" s="15" t="s">
        <v>22</v>
      </c>
    </row>
    <row r="60" spans="1:11" ht="42" customHeight="1">
      <c r="A60" s="4" t="s">
        <v>195</v>
      </c>
      <c r="B60" s="5" t="s">
        <v>196</v>
      </c>
      <c r="C60" s="5" t="s">
        <v>69</v>
      </c>
      <c r="D60" s="5" t="s">
        <v>70</v>
      </c>
      <c r="E60" s="5" t="s">
        <v>71</v>
      </c>
      <c r="F60" s="9">
        <v>35</v>
      </c>
      <c r="G60" s="9" t="s">
        <v>197</v>
      </c>
      <c r="H60" s="5" t="s">
        <v>20</v>
      </c>
      <c r="I60" s="5" t="s">
        <v>198</v>
      </c>
      <c r="J60" s="12" t="str">
        <f>HYPERLINK("https://www.boe.es/gazeta/dias/1807/04/21/pdfs/C00001-00004.pdf#page=3","Abrir facsímil")</f>
        <v>Abrir facsímil</v>
      </c>
      <c r="K60" s="15" t="s">
        <v>22</v>
      </c>
    </row>
    <row r="61" spans="1:11" ht="42" customHeight="1">
      <c r="A61" s="4" t="s">
        <v>199</v>
      </c>
      <c r="B61" s="5" t="s">
        <v>200</v>
      </c>
      <c r="C61" s="5" t="s">
        <v>28</v>
      </c>
      <c r="D61" s="5" t="s">
        <v>29</v>
      </c>
      <c r="E61" s="5" t="s">
        <v>152</v>
      </c>
      <c r="F61" s="9">
        <v>61</v>
      </c>
      <c r="G61" s="9">
        <v>724</v>
      </c>
      <c r="H61" s="5" t="s">
        <v>20</v>
      </c>
      <c r="I61" s="5" t="s">
        <v>201</v>
      </c>
      <c r="J61" s="12" t="str">
        <f>HYPERLINK("https://www.boe.es/gazeta/dias/1807/07/14/pdfs/GMD-1807-61.pdf#page=10","Abrir facsímil")</f>
        <v>Abrir facsímil</v>
      </c>
      <c r="K61" s="15" t="s">
        <v>22</v>
      </c>
    </row>
    <row r="62" spans="1:11" ht="42" customHeight="1">
      <c r="A62" s="4" t="s">
        <v>202</v>
      </c>
      <c r="B62" s="5" t="s">
        <v>203</v>
      </c>
      <c r="C62" s="5" t="s">
        <v>34</v>
      </c>
      <c r="D62" s="5" t="s">
        <v>35</v>
      </c>
      <c r="E62" s="5" t="s">
        <v>104</v>
      </c>
      <c r="F62" s="9">
        <v>25</v>
      </c>
      <c r="G62" s="9">
        <v>300</v>
      </c>
      <c r="H62" s="5" t="s">
        <v>20</v>
      </c>
      <c r="I62" s="5" t="s">
        <v>204</v>
      </c>
      <c r="J62" s="12" t="str">
        <f>HYPERLINK("https://www.boe.es/gazeta/dias/1807/03/17/pdfs/GMD-1807-25.pdf#page=8","Abrir facsímil")</f>
        <v>Abrir facsímil</v>
      </c>
      <c r="K62" s="15" t="s">
        <v>22</v>
      </c>
    </row>
    <row r="63" spans="1:11" ht="42" customHeight="1">
      <c r="A63" s="4" t="s">
        <v>205</v>
      </c>
      <c r="B63" s="5" t="s">
        <v>206</v>
      </c>
      <c r="C63" s="5" t="s">
        <v>34</v>
      </c>
      <c r="D63" s="5" t="s">
        <v>35</v>
      </c>
      <c r="E63" s="5" t="s">
        <v>40</v>
      </c>
      <c r="F63" s="9">
        <v>26</v>
      </c>
      <c r="G63" s="9">
        <v>312</v>
      </c>
      <c r="H63" s="5" t="s">
        <v>20</v>
      </c>
      <c r="I63" s="5" t="s">
        <v>207</v>
      </c>
      <c r="J63" s="12" t="str">
        <f>HYPERLINK("https://www.boe.es/gazeta/dias/1807/03/20/pdfs/GMD-1807-26.pdf#page=8","Abrir facsímil")</f>
        <v>Abrir facsímil</v>
      </c>
      <c r="K63" s="15" t="s">
        <v>22</v>
      </c>
    </row>
    <row r="64" spans="1:11" ht="42" customHeight="1">
      <c r="A64" s="4" t="s">
        <v>205</v>
      </c>
      <c r="B64" s="5" t="s">
        <v>206</v>
      </c>
      <c r="C64" s="5" t="s">
        <v>34</v>
      </c>
      <c r="D64" s="5" t="s">
        <v>35</v>
      </c>
      <c r="E64" s="5" t="s">
        <v>208</v>
      </c>
      <c r="F64" s="9">
        <v>42</v>
      </c>
      <c r="G64" s="9">
        <v>502</v>
      </c>
      <c r="H64" s="5" t="s">
        <v>20</v>
      </c>
      <c r="I64" s="5" t="s">
        <v>209</v>
      </c>
      <c r="J64" s="12" t="str">
        <f>HYPERLINK("https://www.boe.es/gazeta/dias/1807/05/15/pdfs/GMD-1807-42.pdf#page=8","Abrir facsímil")</f>
        <v>Abrir facsímil</v>
      </c>
      <c r="K64" s="15" t="s">
        <v>22</v>
      </c>
    </row>
    <row r="65" spans="1:11" ht="42" customHeight="1">
      <c r="A65" s="4" t="s">
        <v>210</v>
      </c>
      <c r="B65" s="5" t="s">
        <v>211</v>
      </c>
      <c r="C65" s="5" t="s">
        <v>24</v>
      </c>
      <c r="D65" s="5" t="s">
        <v>18</v>
      </c>
      <c r="E65" s="5" t="s">
        <v>179</v>
      </c>
      <c r="F65" s="9">
        <v>100</v>
      </c>
      <c r="G65" s="9">
        <v>1165</v>
      </c>
      <c r="H65" s="5" t="s">
        <v>20</v>
      </c>
      <c r="I65" s="5" t="s">
        <v>212</v>
      </c>
      <c r="J65" s="12" t="str">
        <f>HYPERLINK("https://www.boe.es/gazeta/dias/1807/11/10/pdfs/GMD-1807-100.pdf#page=9","Abrir facsímil")</f>
        <v>Abrir facsímil</v>
      </c>
      <c r="K65" s="15" t="s">
        <v>22</v>
      </c>
    </row>
    <row r="66" spans="1:11" ht="42" customHeight="1">
      <c r="A66" s="4" t="s">
        <v>213</v>
      </c>
      <c r="B66" s="5" t="s">
        <v>214</v>
      </c>
      <c r="C66" s="5" t="s">
        <v>28</v>
      </c>
      <c r="D66" s="5" t="s">
        <v>29</v>
      </c>
      <c r="E66" s="5" t="s">
        <v>215</v>
      </c>
      <c r="F66" s="9">
        <v>5</v>
      </c>
      <c r="G66" s="9">
        <v>51</v>
      </c>
      <c r="H66" s="5" t="s">
        <v>20</v>
      </c>
      <c r="I66" s="5" t="s">
        <v>216</v>
      </c>
      <c r="J66" s="12" t="str">
        <f>HYPERLINK("https://www.boe.es/gazeta/dias/1807/01/16/pdfs/GMD-1807-5.pdf#page=7","Abrir facsímil")</f>
        <v>Abrir facsímil</v>
      </c>
      <c r="K66" s="15" t="s">
        <v>22</v>
      </c>
    </row>
    <row r="67" spans="1:11" ht="42" customHeight="1">
      <c r="A67" s="4" t="s">
        <v>217</v>
      </c>
      <c r="B67" s="5" t="s">
        <v>218</v>
      </c>
      <c r="C67" s="5" t="s">
        <v>24</v>
      </c>
      <c r="D67" s="5" t="s">
        <v>18</v>
      </c>
      <c r="E67" s="5" t="s">
        <v>219</v>
      </c>
      <c r="F67" s="9">
        <v>56</v>
      </c>
      <c r="G67" s="9">
        <v>672</v>
      </c>
      <c r="H67" s="5" t="s">
        <v>20</v>
      </c>
      <c r="I67" s="5" t="s">
        <v>220</v>
      </c>
      <c r="J67" s="12" t="str">
        <f>HYPERLINK("https://www.boe.es/gazeta/dias/1807/07/03/pdfs/GMD-1807-56.pdf#page=10","Abrir facsímil")</f>
        <v>Abrir facsímil</v>
      </c>
      <c r="K67" s="15" t="s">
        <v>22</v>
      </c>
    </row>
    <row r="68" spans="1:11" ht="42" customHeight="1">
      <c r="A68" s="4" t="s">
        <v>217</v>
      </c>
      <c r="B68" s="5" t="s">
        <v>218</v>
      </c>
      <c r="C68" s="5" t="s">
        <v>24</v>
      </c>
      <c r="D68" s="5" t="s">
        <v>18</v>
      </c>
      <c r="E68" s="5" t="s">
        <v>221</v>
      </c>
      <c r="F68" s="9">
        <v>73</v>
      </c>
      <c r="G68" s="9">
        <v>847</v>
      </c>
      <c r="H68" s="5" t="s">
        <v>20</v>
      </c>
      <c r="I68" s="5" t="s">
        <v>222</v>
      </c>
      <c r="J68" s="12" t="str">
        <f>HYPERLINK("https://www.boe.es/gazeta/dias/1807/08/14/pdfs/GMD-1807-73.pdf#page=11","Abrir facsímil")</f>
        <v>Abrir facsímil</v>
      </c>
      <c r="K68" s="15" t="s">
        <v>22</v>
      </c>
    </row>
    <row r="69" spans="1:11" ht="42" customHeight="1">
      <c r="A69" s="4" t="s">
        <v>217</v>
      </c>
      <c r="B69" s="5" t="s">
        <v>218</v>
      </c>
      <c r="C69" s="5" t="s">
        <v>24</v>
      </c>
      <c r="D69" s="5" t="s">
        <v>18</v>
      </c>
      <c r="E69" s="5" t="s">
        <v>127</v>
      </c>
      <c r="F69" s="9">
        <v>81</v>
      </c>
      <c r="G69" s="9">
        <v>947</v>
      </c>
      <c r="H69" s="5" t="s">
        <v>20</v>
      </c>
      <c r="I69" s="5" t="s">
        <v>223</v>
      </c>
      <c r="J69" s="12" t="str">
        <f>HYPERLINK("https://www.boe.es/gazeta/dias/1807/09/11/pdfs/GMD-1807-81.pdf#page=11","Abrir facsímil")</f>
        <v>Abrir facsímil</v>
      </c>
      <c r="K69" s="15" t="s">
        <v>22</v>
      </c>
    </row>
    <row r="70" spans="1:11" ht="42" customHeight="1">
      <c r="A70" s="4" t="s">
        <v>217</v>
      </c>
      <c r="B70" s="5" t="s">
        <v>218</v>
      </c>
      <c r="C70" s="5" t="s">
        <v>24</v>
      </c>
      <c r="D70" s="5" t="s">
        <v>18</v>
      </c>
      <c r="E70" s="5" t="s">
        <v>224</v>
      </c>
      <c r="F70" s="9">
        <v>91</v>
      </c>
      <c r="G70" s="9">
        <v>1060</v>
      </c>
      <c r="H70" s="5" t="s">
        <v>20</v>
      </c>
      <c r="I70" s="5" t="s">
        <v>225</v>
      </c>
      <c r="J70" s="12" t="str">
        <f>HYPERLINK("https://www.boe.es/gazeta/dias/1807/10/09/pdfs/GMD-1807-91.pdf#page=12","Abrir facsímil")</f>
        <v>Abrir facsímil</v>
      </c>
      <c r="K70" s="15" t="s">
        <v>22</v>
      </c>
    </row>
    <row r="71" spans="1:11" ht="42" customHeight="1">
      <c r="A71" s="4" t="s">
        <v>217</v>
      </c>
      <c r="B71" s="5" t="s">
        <v>218</v>
      </c>
      <c r="C71" s="5" t="s">
        <v>24</v>
      </c>
      <c r="D71" s="5" t="s">
        <v>18</v>
      </c>
      <c r="E71" s="5" t="s">
        <v>139</v>
      </c>
      <c r="F71" s="9">
        <v>110</v>
      </c>
      <c r="G71" s="9">
        <v>1285</v>
      </c>
      <c r="H71" s="5" t="s">
        <v>20</v>
      </c>
      <c r="I71" s="5" t="s">
        <v>226</v>
      </c>
      <c r="J71" s="12" t="str">
        <f>HYPERLINK("https://www.boe.es/gazeta/dias/1807/12/11/pdfs/GMD-1807-110.pdf#page=9","Abrir facsímil")</f>
        <v>Abrir facsímil</v>
      </c>
      <c r="K71" s="15" t="s">
        <v>22</v>
      </c>
    </row>
    <row r="72" spans="1:11" ht="42" customHeight="1">
      <c r="A72" s="4" t="s">
        <v>227</v>
      </c>
      <c r="B72" s="5" t="s">
        <v>228</v>
      </c>
      <c r="C72" s="5" t="s">
        <v>24</v>
      </c>
      <c r="D72" s="5" t="s">
        <v>18</v>
      </c>
      <c r="E72" s="5" t="s">
        <v>111</v>
      </c>
      <c r="F72" s="9">
        <v>90</v>
      </c>
      <c r="G72" s="9">
        <v>1047</v>
      </c>
      <c r="H72" s="5" t="s">
        <v>20</v>
      </c>
      <c r="I72" s="5" t="s">
        <v>229</v>
      </c>
      <c r="J72" s="12" t="str">
        <f>HYPERLINK("https://www.boe.es/gazeta/dias/1807/10/06/pdfs/GMD-1807-90.pdf#page=15","Abrir facsímil")</f>
        <v>Abrir facsímil</v>
      </c>
      <c r="K72" s="15" t="s">
        <v>22</v>
      </c>
    </row>
    <row r="73" spans="1:11" ht="42" customHeight="1">
      <c r="A73" s="4" t="s">
        <v>230</v>
      </c>
      <c r="B73" s="5" t="s">
        <v>231</v>
      </c>
      <c r="C73" s="5" t="s">
        <v>17</v>
      </c>
      <c r="D73" s="5" t="s">
        <v>18</v>
      </c>
      <c r="E73" s="5" t="s">
        <v>40</v>
      </c>
      <c r="F73" s="9">
        <v>26</v>
      </c>
      <c r="G73" s="9">
        <v>312</v>
      </c>
      <c r="H73" s="5" t="s">
        <v>20</v>
      </c>
      <c r="I73" s="5" t="s">
        <v>232</v>
      </c>
      <c r="J73" s="12" t="str">
        <f>HYPERLINK("https://www.boe.es/gazeta/dias/1807/03/20/pdfs/GMD-1807-26.pdf#page=8","Abrir facsímil")</f>
        <v>Abrir facsímil</v>
      </c>
      <c r="K73" s="15" t="s">
        <v>22</v>
      </c>
    </row>
    <row r="74" spans="1:11" ht="42" customHeight="1">
      <c r="A74" s="4" t="s">
        <v>233</v>
      </c>
      <c r="B74" s="5" t="s">
        <v>234</v>
      </c>
      <c r="C74" s="5" t="s">
        <v>69</v>
      </c>
      <c r="D74" s="5" t="s">
        <v>70</v>
      </c>
      <c r="E74" s="5" t="s">
        <v>71</v>
      </c>
      <c r="F74" s="9">
        <v>35</v>
      </c>
      <c r="G74" s="9" t="s">
        <v>72</v>
      </c>
      <c r="H74" s="5" t="s">
        <v>20</v>
      </c>
      <c r="I74" s="5" t="s">
        <v>235</v>
      </c>
      <c r="J74" s="12" t="str">
        <f>HYPERLINK("https://www.boe.es/gazeta/dias/1807/04/21/pdfs/C00001-00004.pdf#page=1","Abrir facsímil")</f>
        <v>Abrir facsímil</v>
      </c>
      <c r="K74" s="15" t="s">
        <v>22</v>
      </c>
    </row>
    <row r="75" spans="1:11" ht="42" customHeight="1">
      <c r="A75" s="4" t="s">
        <v>236</v>
      </c>
      <c r="B75" s="5" t="s">
        <v>237</v>
      </c>
      <c r="C75" s="5" t="s">
        <v>89</v>
      </c>
      <c r="D75" s="5" t="s">
        <v>90</v>
      </c>
      <c r="E75" s="5" t="s">
        <v>101</v>
      </c>
      <c r="F75" s="9">
        <v>23</v>
      </c>
      <c r="G75" s="9">
        <v>275</v>
      </c>
      <c r="H75" s="5" t="s">
        <v>20</v>
      </c>
      <c r="I75" s="5" t="s">
        <v>238</v>
      </c>
      <c r="J75" s="12" t="str">
        <f>HYPERLINK("https://www.boe.es/gazeta/dias/1807/03/10/pdfs/GMD-1807-23.pdf#page=15","Abrir facsímil")</f>
        <v>Abrir facsímil</v>
      </c>
      <c r="K75" s="15" t="s">
        <v>22</v>
      </c>
    </row>
    <row r="76" spans="1:11" ht="42" customHeight="1">
      <c r="A76" s="4" t="s">
        <v>239</v>
      </c>
      <c r="B76" s="5" t="s">
        <v>240</v>
      </c>
      <c r="C76" s="5" t="s">
        <v>28</v>
      </c>
      <c r="D76" s="5" t="s">
        <v>29</v>
      </c>
      <c r="E76" s="5" t="s">
        <v>241</v>
      </c>
      <c r="F76" s="9">
        <v>76</v>
      </c>
      <c r="G76" s="9">
        <v>879</v>
      </c>
      <c r="H76" s="5" t="s">
        <v>20</v>
      </c>
      <c r="I76" s="5" t="s">
        <v>242</v>
      </c>
      <c r="J76" s="12" t="str">
        <f>HYPERLINK("https://www.boe.es/gazeta/dias/1807/08/25/pdfs/GMD-1807-76.pdf#page=7","Abrir facsímil")</f>
        <v>Abrir facsímil</v>
      </c>
      <c r="K76" s="15" t="s">
        <v>22</v>
      </c>
    </row>
    <row r="77" spans="1:11" ht="42" customHeight="1">
      <c r="A77" s="4" t="s">
        <v>243</v>
      </c>
      <c r="B77" s="5" t="s">
        <v>244</v>
      </c>
      <c r="C77" s="5" t="s">
        <v>34</v>
      </c>
      <c r="D77" s="5" t="s">
        <v>35</v>
      </c>
      <c r="E77" s="5" t="s">
        <v>245</v>
      </c>
      <c r="F77" s="9">
        <v>97</v>
      </c>
      <c r="G77" s="9">
        <v>1128</v>
      </c>
      <c r="H77" s="5" t="s">
        <v>20</v>
      </c>
      <c r="I77" s="5" t="s">
        <v>246</v>
      </c>
      <c r="J77" s="12" t="str">
        <f>HYPERLINK("https://www.boe.es/gazeta/dias/1807/10/30/pdfs/GMD-1807-97.pdf#page=8","Abrir facsímil")</f>
        <v>Abrir facsímil</v>
      </c>
      <c r="K77" s="15" t="s">
        <v>22</v>
      </c>
    </row>
    <row r="78" spans="1:11" ht="42" customHeight="1">
      <c r="A78" s="4" t="s">
        <v>247</v>
      </c>
      <c r="B78" s="5" t="s">
        <v>248</v>
      </c>
      <c r="C78" s="5" t="s">
        <v>17</v>
      </c>
      <c r="D78" s="5" t="s">
        <v>18</v>
      </c>
      <c r="E78" s="5" t="s">
        <v>98</v>
      </c>
      <c r="F78" s="9">
        <v>34</v>
      </c>
      <c r="G78" s="9">
        <v>408</v>
      </c>
      <c r="H78" s="5" t="s">
        <v>20</v>
      </c>
      <c r="I78" s="5" t="s">
        <v>249</v>
      </c>
      <c r="J78" s="12" t="str">
        <f>HYPERLINK("https://www.boe.es/gazeta/dias/1807/04/17/pdfs/GMD-1807-34.pdf#page=12","Abrir facsímil")</f>
        <v>Abrir facsímil</v>
      </c>
      <c r="K78" s="15" t="s">
        <v>22</v>
      </c>
    </row>
    <row r="79" spans="1:11" ht="42" customHeight="1">
      <c r="A79" s="4" t="s">
        <v>250</v>
      </c>
      <c r="B79" s="5" t="s">
        <v>251</v>
      </c>
      <c r="C79" s="5" t="s">
        <v>252</v>
      </c>
      <c r="D79" s="5" t="s">
        <v>253</v>
      </c>
      <c r="E79" s="5" t="s">
        <v>254</v>
      </c>
      <c r="F79" s="9" t="s">
        <v>255</v>
      </c>
      <c r="G79" s="9">
        <v>792</v>
      </c>
      <c r="H79" s="5" t="s">
        <v>20</v>
      </c>
      <c r="I79" s="5" t="s">
        <v>256</v>
      </c>
      <c r="J79" s="12" t="str">
        <f>HYPERLINK("https://www.boe.es/gazeta/dias/1807/08/02/pdfs/GMD-1807-69E.pdf#page=4","Abrir facsímil")</f>
        <v>Abrir facsímil</v>
      </c>
      <c r="K79" s="15" t="s">
        <v>22</v>
      </c>
    </row>
    <row r="80" spans="1:11" ht="42" customHeight="1">
      <c r="A80" s="4" t="s">
        <v>257</v>
      </c>
      <c r="B80" s="5" t="s">
        <v>258</v>
      </c>
      <c r="C80" s="5" t="s">
        <v>28</v>
      </c>
      <c r="D80" s="5" t="s">
        <v>29</v>
      </c>
      <c r="E80" s="5" t="s">
        <v>259</v>
      </c>
      <c r="F80" s="9">
        <v>3</v>
      </c>
      <c r="G80" s="9">
        <v>27</v>
      </c>
      <c r="H80" s="5" t="s">
        <v>20</v>
      </c>
      <c r="I80" s="5" t="s">
        <v>260</v>
      </c>
      <c r="J80" s="12" t="str">
        <f>HYPERLINK("https://www.boe.es/gazeta/dias/1807/01/09/pdfs/GMD-1807-3.pdf#page=7","Abrir facsímil")</f>
        <v>Abrir facsímil</v>
      </c>
      <c r="K80" s="15" t="s">
        <v>22</v>
      </c>
    </row>
    <row r="81" spans="1:11" ht="42" customHeight="1">
      <c r="A81" s="4" t="s">
        <v>261</v>
      </c>
      <c r="B81" s="5" t="s">
        <v>262</v>
      </c>
      <c r="C81" s="5" t="s">
        <v>69</v>
      </c>
      <c r="D81" s="5" t="s">
        <v>70</v>
      </c>
      <c r="E81" s="5" t="s">
        <v>71</v>
      </c>
      <c r="F81" s="9">
        <v>35</v>
      </c>
      <c r="G81" s="9" t="s">
        <v>72</v>
      </c>
      <c r="H81" s="5" t="s">
        <v>20</v>
      </c>
      <c r="I81" s="5" t="s">
        <v>263</v>
      </c>
      <c r="J81" s="12" t="str">
        <f>HYPERLINK("https://www.boe.es/gazeta/dias/1807/04/21/pdfs/C00001-00004.pdf#page=1","Abrir facsímil")</f>
        <v>Abrir facsímil</v>
      </c>
      <c r="K81" s="15" t="s">
        <v>22</v>
      </c>
    </row>
    <row r="82" spans="1:11" ht="42" customHeight="1">
      <c r="A82" s="4" t="s">
        <v>264</v>
      </c>
      <c r="B82" s="5" t="s">
        <v>265</v>
      </c>
      <c r="C82" s="5" t="s">
        <v>49</v>
      </c>
      <c r="D82" s="5" t="s">
        <v>50</v>
      </c>
      <c r="E82" s="5" t="s">
        <v>266</v>
      </c>
      <c r="F82" s="9">
        <v>67</v>
      </c>
      <c r="G82" s="9">
        <v>769</v>
      </c>
      <c r="H82" s="5" t="s">
        <v>20</v>
      </c>
      <c r="I82" s="5" t="s">
        <v>267</v>
      </c>
      <c r="J82" s="12" t="str">
        <f>HYPERLINK("https://www.boe.es/gazeta/dias/1807/07/28/pdfs/GMD-1807-67.pdf#page=5","Abrir facsímil")</f>
        <v>Abrir facsímil</v>
      </c>
      <c r="K82" s="15" t="s">
        <v>22</v>
      </c>
    </row>
    <row r="83" spans="1:11" ht="42" customHeight="1">
      <c r="A83" s="4" t="s">
        <v>268</v>
      </c>
      <c r="B83" s="5" t="s">
        <v>269</v>
      </c>
      <c r="C83" s="5" t="s">
        <v>49</v>
      </c>
      <c r="D83" s="5" t="s">
        <v>50</v>
      </c>
      <c r="E83" s="5" t="s">
        <v>270</v>
      </c>
      <c r="F83" s="9">
        <v>8</v>
      </c>
      <c r="G83" s="9">
        <v>86</v>
      </c>
      <c r="H83" s="5" t="s">
        <v>20</v>
      </c>
      <c r="I83" s="5" t="s">
        <v>271</v>
      </c>
      <c r="J83" s="12" t="str">
        <f>HYPERLINK("https://www.boe.es/gazeta/dias/1807/01/23/pdfs/GMD-1807-8.pdf#page=2","Abrir facsímil")</f>
        <v>Abrir facsímil</v>
      </c>
      <c r="K83" s="15" t="s">
        <v>22</v>
      </c>
    </row>
    <row r="84" spans="1:11" ht="42" customHeight="1">
      <c r="A84" s="4" t="s">
        <v>272</v>
      </c>
      <c r="B84" s="5" t="s">
        <v>272</v>
      </c>
      <c r="C84" s="5" t="s">
        <v>34</v>
      </c>
      <c r="D84" s="5" t="s">
        <v>35</v>
      </c>
      <c r="E84" s="5" t="s">
        <v>62</v>
      </c>
      <c r="F84" s="9">
        <v>68</v>
      </c>
      <c r="G84" s="9">
        <v>783</v>
      </c>
      <c r="H84" s="5" t="s">
        <v>20</v>
      </c>
      <c r="I84" s="5" t="s">
        <v>273</v>
      </c>
      <c r="J84" s="12" t="str">
        <f>HYPERLINK("https://www.boe.es/gazeta/dias/1807/07/31/pdfs/GMD-1807-68.pdf#page=7","Abrir facsímil")</f>
        <v>Abrir facsímil</v>
      </c>
      <c r="K84" s="15" t="s">
        <v>22</v>
      </c>
    </row>
    <row r="85" spans="1:11" ht="42" customHeight="1">
      <c r="A85" s="4" t="s">
        <v>274</v>
      </c>
      <c r="B85" s="5" t="s">
        <v>274</v>
      </c>
      <c r="C85" s="5" t="s">
        <v>49</v>
      </c>
      <c r="D85" s="5" t="s">
        <v>50</v>
      </c>
      <c r="E85" s="5" t="s">
        <v>275</v>
      </c>
      <c r="F85" s="9">
        <v>104</v>
      </c>
      <c r="G85" s="9">
        <v>1206</v>
      </c>
      <c r="H85" s="5" t="s">
        <v>20</v>
      </c>
      <c r="I85" s="5" t="s">
        <v>276</v>
      </c>
      <c r="J85" s="12" t="str">
        <f>HYPERLINK("https://www.boe.es/gazeta/dias/1807/11/24/pdfs/GMD-1807-104.pdf#page=2","Abrir facsímil")</f>
        <v>Abrir facsímil</v>
      </c>
      <c r="K85" s="15" t="s">
        <v>22</v>
      </c>
    </row>
    <row r="86" spans="1:11" ht="42" customHeight="1">
      <c r="A86" s="4" t="s">
        <v>277</v>
      </c>
      <c r="B86" s="5" t="s">
        <v>277</v>
      </c>
      <c r="C86" s="5" t="s">
        <v>34</v>
      </c>
      <c r="D86" s="5" t="s">
        <v>35</v>
      </c>
      <c r="E86" s="5" t="s">
        <v>86</v>
      </c>
      <c r="F86" s="9">
        <v>12</v>
      </c>
      <c r="G86" s="9">
        <v>136</v>
      </c>
      <c r="H86" s="5" t="s">
        <v>20</v>
      </c>
      <c r="I86" s="5" t="s">
        <v>278</v>
      </c>
      <c r="J86" s="12" t="str">
        <f>HYPERLINK("https://www.boe.es/gazeta/dias/1807/02/03/pdfs/GMD-1807-12.pdf#page=8","Abrir facsímil")</f>
        <v>Abrir facsímil</v>
      </c>
      <c r="K86" s="15" t="s">
        <v>22</v>
      </c>
    </row>
    <row r="87" spans="1:11" ht="42" customHeight="1">
      <c r="A87" s="4" t="s">
        <v>279</v>
      </c>
      <c r="B87" s="5" t="s">
        <v>279</v>
      </c>
      <c r="C87" s="5" t="s">
        <v>17</v>
      </c>
      <c r="D87" s="5" t="s">
        <v>18</v>
      </c>
      <c r="E87" s="5" t="s">
        <v>215</v>
      </c>
      <c r="F87" s="9">
        <v>5</v>
      </c>
      <c r="G87" s="9">
        <v>55</v>
      </c>
      <c r="H87" s="5" t="s">
        <v>20</v>
      </c>
      <c r="I87" s="5" t="s">
        <v>280</v>
      </c>
      <c r="J87" s="12" t="str">
        <f>HYPERLINK("https://www.boe.es/gazeta/dias/1807/01/16/pdfs/GMD-1807-5.pdf#page=11","Abrir facsímil")</f>
        <v>Abrir facsímil</v>
      </c>
      <c r="K87" s="15" t="s">
        <v>22</v>
      </c>
    </row>
    <row r="88" spans="1:11" ht="42" customHeight="1">
      <c r="A88" s="4" t="s">
        <v>281</v>
      </c>
      <c r="B88" s="5" t="s">
        <v>281</v>
      </c>
      <c r="C88" s="5" t="s">
        <v>17</v>
      </c>
      <c r="D88" s="5" t="s">
        <v>18</v>
      </c>
      <c r="E88" s="5" t="s">
        <v>282</v>
      </c>
      <c r="F88" s="9">
        <v>16</v>
      </c>
      <c r="G88" s="9">
        <v>186</v>
      </c>
      <c r="H88" s="5" t="s">
        <v>20</v>
      </c>
      <c r="I88" s="5" t="s">
        <v>283</v>
      </c>
      <c r="J88" s="12" t="str">
        <f>HYPERLINK("https://www.boe.es/gazeta/dias/1807/02/17/pdfs/GMD-1807-16.pdf#page=10","Abrir facsímil")</f>
        <v>Abrir facsímil</v>
      </c>
      <c r="K88" s="15" t="s">
        <v>22</v>
      </c>
    </row>
    <row r="89" spans="1:11" ht="42" customHeight="1">
      <c r="A89" s="4" t="s">
        <v>284</v>
      </c>
      <c r="B89" s="5" t="s">
        <v>284</v>
      </c>
      <c r="C89" s="5" t="s">
        <v>34</v>
      </c>
      <c r="D89" s="5" t="s">
        <v>35</v>
      </c>
      <c r="E89" s="5" t="s">
        <v>120</v>
      </c>
      <c r="F89" s="9">
        <v>10</v>
      </c>
      <c r="G89" s="9">
        <v>111</v>
      </c>
      <c r="H89" s="5" t="s">
        <v>20</v>
      </c>
      <c r="I89" s="5" t="s">
        <v>285</v>
      </c>
      <c r="J89" s="12" t="str">
        <f>HYPERLINK("https://www.boe.es/gazeta/dias/1807/01/27/pdfs/GMD-1807-10.pdf#page=7","Abrir facsímil")</f>
        <v>Abrir facsímil</v>
      </c>
      <c r="K89" s="15" t="s">
        <v>22</v>
      </c>
    </row>
    <row r="90" spans="1:11" ht="42" customHeight="1">
      <c r="A90" s="4" t="s">
        <v>286</v>
      </c>
      <c r="B90" s="5" t="s">
        <v>286</v>
      </c>
      <c r="C90" s="5" t="s">
        <v>24</v>
      </c>
      <c r="D90" s="5" t="s">
        <v>18</v>
      </c>
      <c r="E90" s="5" t="s">
        <v>114</v>
      </c>
      <c r="F90" s="9">
        <v>46</v>
      </c>
      <c r="G90" s="9">
        <v>553</v>
      </c>
      <c r="H90" s="5" t="s">
        <v>20</v>
      </c>
      <c r="I90" s="5" t="s">
        <v>287</v>
      </c>
      <c r="J90" s="12" t="str">
        <f>HYPERLINK("https://www.boe.es/gazeta/dias/1807/05/29/pdfs/GMD-1807-46.pdf#page=11","Abrir facsímil")</f>
        <v>Abrir facsímil</v>
      </c>
      <c r="K90" s="15" t="s">
        <v>22</v>
      </c>
    </row>
    <row r="91" spans="1:11" ht="42" customHeight="1">
      <c r="A91" s="4" t="s">
        <v>288</v>
      </c>
      <c r="B91" s="5" t="s">
        <v>288</v>
      </c>
      <c r="C91" s="5" t="s">
        <v>28</v>
      </c>
      <c r="D91" s="5" t="s">
        <v>29</v>
      </c>
      <c r="E91" s="5" t="s">
        <v>94</v>
      </c>
      <c r="F91" s="9">
        <v>22</v>
      </c>
      <c r="G91" s="9">
        <v>259</v>
      </c>
      <c r="H91" s="5" t="s">
        <v>20</v>
      </c>
      <c r="I91" s="5" t="s">
        <v>289</v>
      </c>
      <c r="J91" s="12" t="str">
        <f>HYPERLINK("https://www.boe.es/gazeta/dias/1807/03/06/pdfs/GMD-1807-22.pdf#page=11","Abrir facsímil")</f>
        <v>Abrir facsímil</v>
      </c>
      <c r="K91" s="15" t="s">
        <v>22</v>
      </c>
    </row>
    <row r="92" spans="1:11" ht="42" customHeight="1">
      <c r="A92" s="4" t="s">
        <v>288</v>
      </c>
      <c r="B92" s="5" t="s">
        <v>288</v>
      </c>
      <c r="C92" s="5" t="s">
        <v>24</v>
      </c>
      <c r="D92" s="5" t="s">
        <v>18</v>
      </c>
      <c r="E92" s="5" t="s">
        <v>98</v>
      </c>
      <c r="F92" s="9">
        <v>34</v>
      </c>
      <c r="G92" s="9">
        <v>407</v>
      </c>
      <c r="H92" s="5" t="s">
        <v>20</v>
      </c>
      <c r="I92" s="5" t="s">
        <v>290</v>
      </c>
      <c r="J92" s="12" t="str">
        <f>HYPERLINK("https://www.boe.es/gazeta/dias/1807/04/17/pdfs/GMD-1807-34.pdf#page=11","Abrir facsímil")</f>
        <v>Abrir facsímil</v>
      </c>
      <c r="K92" s="15" t="s">
        <v>22</v>
      </c>
    </row>
    <row r="93" spans="1:11" ht="42" customHeight="1">
      <c r="A93" s="4" t="s">
        <v>288</v>
      </c>
      <c r="B93" s="5" t="s">
        <v>288</v>
      </c>
      <c r="C93" s="5" t="s">
        <v>24</v>
      </c>
      <c r="D93" s="5" t="s">
        <v>18</v>
      </c>
      <c r="E93" s="5" t="s">
        <v>71</v>
      </c>
      <c r="F93" s="9">
        <v>35</v>
      </c>
      <c r="G93" s="9">
        <v>419</v>
      </c>
      <c r="H93" s="5" t="s">
        <v>20</v>
      </c>
      <c r="I93" s="5" t="s">
        <v>291</v>
      </c>
      <c r="J93" s="12" t="str">
        <f>HYPERLINK("https://www.boe.es/gazeta/dias/1807/04/21/pdfs/GMD-1807-35.pdf#page=11","Abrir facsímil")</f>
        <v>Abrir facsímil</v>
      </c>
      <c r="K93" s="15" t="s">
        <v>22</v>
      </c>
    </row>
    <row r="94" spans="1:11" ht="42" customHeight="1">
      <c r="A94" s="4" t="s">
        <v>288</v>
      </c>
      <c r="B94" s="5" t="s">
        <v>288</v>
      </c>
      <c r="C94" s="5" t="s">
        <v>17</v>
      </c>
      <c r="D94" s="5" t="s">
        <v>18</v>
      </c>
      <c r="E94" s="5" t="s">
        <v>65</v>
      </c>
      <c r="F94" s="9">
        <v>52</v>
      </c>
      <c r="G94" s="9">
        <v>621</v>
      </c>
      <c r="H94" s="5" t="s">
        <v>20</v>
      </c>
      <c r="I94" s="5" t="s">
        <v>292</v>
      </c>
      <c r="J94" s="12" t="str">
        <f>HYPERLINK("https://www.boe.es/gazeta/dias/1807/06/19/pdfs/GMD-1807-52.pdf#page=11","Abrir facsímil")</f>
        <v>Abrir facsímil</v>
      </c>
      <c r="K94" s="15" t="s">
        <v>22</v>
      </c>
    </row>
    <row r="95" spans="1:11" ht="42" customHeight="1">
      <c r="A95" s="4" t="s">
        <v>293</v>
      </c>
      <c r="B95" s="5" t="s">
        <v>293</v>
      </c>
      <c r="C95" s="5" t="s">
        <v>17</v>
      </c>
      <c r="D95" s="5" t="s">
        <v>18</v>
      </c>
      <c r="E95" s="5" t="s">
        <v>120</v>
      </c>
      <c r="F95" s="9">
        <v>10</v>
      </c>
      <c r="G95" s="9">
        <v>115</v>
      </c>
      <c r="H95" s="5" t="s">
        <v>20</v>
      </c>
      <c r="I95" s="5" t="s">
        <v>294</v>
      </c>
      <c r="J95" s="12" t="str">
        <f>HYPERLINK("https://www.boe.es/gazeta/dias/1807/01/27/pdfs/GMD-1807-10.pdf#page=11","Abrir facsímil")</f>
        <v>Abrir facsímil</v>
      </c>
      <c r="K95" s="15" t="s">
        <v>22</v>
      </c>
    </row>
    <row r="96" spans="1:11" ht="42" customHeight="1">
      <c r="A96" s="4" t="s">
        <v>295</v>
      </c>
      <c r="B96" s="5" t="s">
        <v>295</v>
      </c>
      <c r="C96" s="5" t="s">
        <v>89</v>
      </c>
      <c r="D96" s="5" t="s">
        <v>90</v>
      </c>
      <c r="E96" s="5" t="s">
        <v>296</v>
      </c>
      <c r="F96" s="9">
        <v>102</v>
      </c>
      <c r="G96" s="9">
        <v>1191</v>
      </c>
      <c r="H96" s="5" t="s">
        <v>20</v>
      </c>
      <c r="I96" s="5" t="s">
        <v>297</v>
      </c>
      <c r="J96" s="12" t="str">
        <f>HYPERLINK("https://www.boe.es/gazeta/dias/1807/11/17/pdfs/GMD-1807-102.pdf#page=11","Abrir facsímil")</f>
        <v>Abrir facsímil</v>
      </c>
      <c r="K96" s="15" t="s">
        <v>22</v>
      </c>
    </row>
    <row r="97" spans="1:11" ht="42" customHeight="1">
      <c r="A97" s="4" t="s">
        <v>298</v>
      </c>
      <c r="B97" s="5" t="s">
        <v>298</v>
      </c>
      <c r="C97" s="5" t="s">
        <v>24</v>
      </c>
      <c r="D97" s="5" t="s">
        <v>18</v>
      </c>
      <c r="E97" s="5" t="s">
        <v>109</v>
      </c>
      <c r="F97" s="9">
        <v>58</v>
      </c>
      <c r="G97" s="9">
        <v>691</v>
      </c>
      <c r="H97" s="5" t="s">
        <v>20</v>
      </c>
      <c r="I97" s="5" t="s">
        <v>299</v>
      </c>
      <c r="J97" s="12" t="str">
        <f>HYPERLINK("https://www.boe.es/gazeta/dias/1807/07/07/pdfs/GMD-1807-58.pdf#page=9","Abrir facsímil")</f>
        <v>Abrir facsímil</v>
      </c>
      <c r="K97" s="15" t="s">
        <v>22</v>
      </c>
    </row>
    <row r="98" spans="1:11" ht="42" customHeight="1">
      <c r="A98" s="4" t="s">
        <v>300</v>
      </c>
      <c r="B98" s="5" t="s">
        <v>300</v>
      </c>
      <c r="C98" s="5" t="s">
        <v>24</v>
      </c>
      <c r="D98" s="5" t="s">
        <v>18</v>
      </c>
      <c r="E98" s="5" t="s">
        <v>301</v>
      </c>
      <c r="F98" s="9">
        <v>89</v>
      </c>
      <c r="G98" s="9">
        <v>1031</v>
      </c>
      <c r="H98" s="5" t="s">
        <v>20</v>
      </c>
      <c r="I98" s="5" t="s">
        <v>302</v>
      </c>
      <c r="J98" s="12" t="str">
        <f>HYPERLINK("https://www.boe.es/gazeta/dias/1807/10/02/pdfs/GMD-1807-89.pdf#page=11","Abrir facsímil")</f>
        <v>Abrir facsímil</v>
      </c>
      <c r="K98" s="15" t="s">
        <v>22</v>
      </c>
    </row>
    <row r="99" spans="1:11" ht="42" customHeight="1">
      <c r="A99" s="4" t="s">
        <v>303</v>
      </c>
      <c r="B99" s="5" t="s">
        <v>304</v>
      </c>
      <c r="C99" s="5" t="s">
        <v>34</v>
      </c>
      <c r="D99" s="5" t="s">
        <v>35</v>
      </c>
      <c r="E99" s="5" t="s">
        <v>305</v>
      </c>
      <c r="F99" s="9">
        <v>53</v>
      </c>
      <c r="G99" s="9">
        <v>634</v>
      </c>
      <c r="H99" s="5" t="s">
        <v>20</v>
      </c>
      <c r="I99" s="5" t="s">
        <v>306</v>
      </c>
      <c r="J99" s="12" t="str">
        <f>HYPERLINK("https://www.boe.es/gazeta/dias/1807/06/23/pdfs/GMD-1807-53.pdf#page=8","Abrir facsímil")</f>
        <v>Abrir facsímil</v>
      </c>
      <c r="K99" s="15" t="s">
        <v>22</v>
      </c>
    </row>
    <row r="100" spans="1:11" ht="42" customHeight="1">
      <c r="A100" s="4" t="s">
        <v>307</v>
      </c>
      <c r="B100" s="5" t="s">
        <v>308</v>
      </c>
      <c r="C100" s="5" t="s">
        <v>34</v>
      </c>
      <c r="D100" s="5" t="s">
        <v>35</v>
      </c>
      <c r="E100" s="5" t="s">
        <v>309</v>
      </c>
      <c r="F100" s="9">
        <v>107</v>
      </c>
      <c r="G100" s="9">
        <v>1247</v>
      </c>
      <c r="H100" s="5" t="s">
        <v>20</v>
      </c>
      <c r="I100" s="5" t="s">
        <v>310</v>
      </c>
      <c r="J100" s="12" t="str">
        <f>HYPERLINK("https://www.boe.es/gazeta/dias/1807/12/01/pdfs/GMD-1807-107.pdf#page=7","Abrir facsímil")</f>
        <v>Abrir facsímil</v>
      </c>
      <c r="K100" s="15" t="s">
        <v>22</v>
      </c>
    </row>
    <row r="101" spans="1:11" ht="42" customHeight="1">
      <c r="A101" s="4" t="s">
        <v>311</v>
      </c>
      <c r="B101" s="5" t="s">
        <v>312</v>
      </c>
      <c r="C101" s="5" t="s">
        <v>28</v>
      </c>
      <c r="D101" s="5" t="s">
        <v>29</v>
      </c>
      <c r="E101" s="5" t="s">
        <v>94</v>
      </c>
      <c r="F101" s="9">
        <v>22</v>
      </c>
      <c r="G101" s="9">
        <v>254</v>
      </c>
      <c r="H101" s="5" t="s">
        <v>20</v>
      </c>
      <c r="I101" s="5" t="s">
        <v>313</v>
      </c>
      <c r="J101" s="12" t="str">
        <f>HYPERLINK("https://www.boe.es/gazeta/dias/1807/03/06/pdfs/GMD-1807-22.pdf#page=6","Abrir facsímil")</f>
        <v>Abrir facsímil</v>
      </c>
      <c r="K101" s="15" t="s">
        <v>22</v>
      </c>
    </row>
    <row r="102" spans="1:11" ht="42" customHeight="1">
      <c r="A102" s="4" t="s">
        <v>311</v>
      </c>
      <c r="B102" s="5" t="s">
        <v>312</v>
      </c>
      <c r="C102" s="5" t="s">
        <v>252</v>
      </c>
      <c r="D102" s="5" t="s">
        <v>253</v>
      </c>
      <c r="E102" s="5" t="s">
        <v>314</v>
      </c>
      <c r="F102" s="9" t="s">
        <v>315</v>
      </c>
      <c r="G102" s="9">
        <v>1221</v>
      </c>
      <c r="H102" s="5" t="s">
        <v>20</v>
      </c>
      <c r="I102" s="5" t="s">
        <v>316</v>
      </c>
      <c r="J102" s="12" t="str">
        <f>HYPERLINK("https://www.boe.es/gazeta/dias/1807/11/26/pdfs/GMD-1807-105E.pdf#page=5","Abrir facsímil")</f>
        <v>Abrir facsímil</v>
      </c>
      <c r="K102" s="15" t="s">
        <v>22</v>
      </c>
    </row>
    <row r="103" spans="1:11" ht="42" customHeight="1">
      <c r="A103" s="4" t="s">
        <v>317</v>
      </c>
      <c r="B103" s="5" t="s">
        <v>318</v>
      </c>
      <c r="C103" s="5" t="s">
        <v>34</v>
      </c>
      <c r="D103" s="5" t="s">
        <v>35</v>
      </c>
      <c r="E103" s="5" t="s">
        <v>319</v>
      </c>
      <c r="F103" s="9">
        <v>54</v>
      </c>
      <c r="G103" s="9">
        <v>646</v>
      </c>
      <c r="H103" s="5" t="s">
        <v>20</v>
      </c>
      <c r="I103" s="5" t="s">
        <v>320</v>
      </c>
      <c r="J103" s="12" t="str">
        <f>HYPERLINK("https://www.boe.es/gazeta/dias/1807/06/26/pdfs/GMD-1807-54.pdf#page=8","Abrir facsímil")</f>
        <v>Abrir facsímil</v>
      </c>
      <c r="K103" s="15" t="s">
        <v>22</v>
      </c>
    </row>
    <row r="104" spans="1:11" ht="42" customHeight="1">
      <c r="A104" s="4" t="s">
        <v>317</v>
      </c>
      <c r="B104" s="5" t="s">
        <v>318</v>
      </c>
      <c r="C104" s="5" t="s">
        <v>28</v>
      </c>
      <c r="D104" s="5" t="s">
        <v>29</v>
      </c>
      <c r="E104" s="5" t="s">
        <v>321</v>
      </c>
      <c r="F104" s="9">
        <v>75</v>
      </c>
      <c r="G104" s="9">
        <v>872</v>
      </c>
      <c r="H104" s="5" t="s">
        <v>20</v>
      </c>
      <c r="I104" s="5" t="s">
        <v>322</v>
      </c>
      <c r="J104" s="12" t="str">
        <f>HYPERLINK("https://www.boe.es/gazeta/dias/1807/08/21/pdfs/GMD-1807-75.pdf#page=12","Abrir facsímil")</f>
        <v>Abrir facsímil</v>
      </c>
      <c r="K104" s="15" t="s">
        <v>22</v>
      </c>
    </row>
    <row r="105" spans="1:11" ht="42" customHeight="1">
      <c r="A105" s="4" t="s">
        <v>323</v>
      </c>
      <c r="B105" s="5" t="s">
        <v>323</v>
      </c>
      <c r="C105" s="5" t="s">
        <v>28</v>
      </c>
      <c r="D105" s="5" t="s">
        <v>29</v>
      </c>
      <c r="E105" s="5" t="s">
        <v>152</v>
      </c>
      <c r="F105" s="9">
        <v>61</v>
      </c>
      <c r="G105" s="9">
        <v>720</v>
      </c>
      <c r="H105" s="5" t="s">
        <v>20</v>
      </c>
      <c r="I105" s="5" t="s">
        <v>324</v>
      </c>
      <c r="J105" s="12" t="str">
        <f>HYPERLINK("https://www.boe.es/gazeta/dias/1807/07/14/pdfs/GMD-1807-61.pdf#page=6","Abrir facsímil")</f>
        <v>Abrir facsímil</v>
      </c>
      <c r="K105" s="15" t="s">
        <v>22</v>
      </c>
    </row>
    <row r="106" spans="1:11" ht="42" customHeight="1">
      <c r="A106" s="4" t="s">
        <v>325</v>
      </c>
      <c r="B106" s="5" t="s">
        <v>325</v>
      </c>
      <c r="C106" s="5" t="s">
        <v>34</v>
      </c>
      <c r="D106" s="5" t="s">
        <v>35</v>
      </c>
      <c r="E106" s="5" t="s">
        <v>149</v>
      </c>
      <c r="F106" s="9">
        <v>38</v>
      </c>
      <c r="G106" s="9">
        <v>449</v>
      </c>
      <c r="H106" s="5" t="s">
        <v>20</v>
      </c>
      <c r="I106" s="5" t="s">
        <v>326</v>
      </c>
      <c r="J106" s="12" t="str">
        <f>HYPERLINK("https://www.boe.es/gazeta/dias/1807/05/01/pdfs/GMD-1807-38.pdf#page=5","Abrir facsímil")</f>
        <v>Abrir facsímil</v>
      </c>
      <c r="K106" s="15" t="s">
        <v>22</v>
      </c>
    </row>
    <row r="107" spans="1:11" ht="42" customHeight="1">
      <c r="A107" s="4" t="s">
        <v>325</v>
      </c>
      <c r="B107" s="5" t="s">
        <v>325</v>
      </c>
      <c r="C107" s="5" t="s">
        <v>28</v>
      </c>
      <c r="D107" s="5" t="s">
        <v>29</v>
      </c>
      <c r="E107" s="5" t="s">
        <v>327</v>
      </c>
      <c r="F107" s="9">
        <v>108</v>
      </c>
      <c r="G107" s="9">
        <v>1254</v>
      </c>
      <c r="H107" s="5" t="s">
        <v>20</v>
      </c>
      <c r="I107" s="5" t="s">
        <v>328</v>
      </c>
      <c r="J107" s="12" t="str">
        <f>HYPERLINK("https://www.boe.es/gazeta/dias/1807/12/04/pdfs/GMD-1807-108.pdf#page=2","Abrir facsímil")</f>
        <v>Abrir facsímil</v>
      </c>
      <c r="K107" s="15" t="s">
        <v>22</v>
      </c>
    </row>
    <row r="108" spans="1:11" ht="42" customHeight="1">
      <c r="A108" s="4" t="s">
        <v>329</v>
      </c>
      <c r="B108" s="5" t="s">
        <v>330</v>
      </c>
      <c r="C108" s="5" t="s">
        <v>34</v>
      </c>
      <c r="D108" s="5" t="s">
        <v>35</v>
      </c>
      <c r="E108" s="5" t="s">
        <v>94</v>
      </c>
      <c r="F108" s="9">
        <v>22</v>
      </c>
      <c r="G108" s="9">
        <v>255</v>
      </c>
      <c r="H108" s="5" t="s">
        <v>20</v>
      </c>
      <c r="I108" s="5" t="s">
        <v>331</v>
      </c>
      <c r="J108" s="12" t="str">
        <f>HYPERLINK("https://www.boe.es/gazeta/dias/1807/03/06/pdfs/GMD-1807-22.pdf#page=7","Abrir facsímil")</f>
        <v>Abrir facsímil</v>
      </c>
      <c r="K108" s="15" t="s">
        <v>22</v>
      </c>
    </row>
    <row r="109" spans="1:11" ht="42" customHeight="1">
      <c r="A109" s="4" t="s">
        <v>332</v>
      </c>
      <c r="B109" s="5" t="s">
        <v>333</v>
      </c>
      <c r="C109" s="5" t="s">
        <v>17</v>
      </c>
      <c r="D109" s="5" t="s">
        <v>18</v>
      </c>
      <c r="E109" s="5" t="s">
        <v>190</v>
      </c>
      <c r="F109" s="9">
        <v>37</v>
      </c>
      <c r="G109" s="9">
        <v>440</v>
      </c>
      <c r="H109" s="5" t="s">
        <v>20</v>
      </c>
      <c r="I109" s="5" t="s">
        <v>334</v>
      </c>
      <c r="J109" s="12" t="str">
        <f>HYPERLINK("https://www.boe.es/gazeta/dias/1807/04/28/pdfs/GMD-1807-37.pdf#page=8","Abrir facsímil")</f>
        <v>Abrir facsímil</v>
      </c>
      <c r="K109" s="15" t="s">
        <v>22</v>
      </c>
    </row>
    <row r="110" spans="1:11" ht="42" customHeight="1">
      <c r="A110" s="4" t="s">
        <v>335</v>
      </c>
      <c r="B110" s="5" t="s">
        <v>336</v>
      </c>
      <c r="C110" s="5" t="s">
        <v>34</v>
      </c>
      <c r="D110" s="5" t="s">
        <v>35</v>
      </c>
      <c r="E110" s="5" t="s">
        <v>135</v>
      </c>
      <c r="F110" s="9">
        <v>80</v>
      </c>
      <c r="G110" s="9">
        <v>933</v>
      </c>
      <c r="H110" s="5" t="s">
        <v>20</v>
      </c>
      <c r="I110" s="5" t="s">
        <v>337</v>
      </c>
      <c r="J110" s="12" t="str">
        <f>HYPERLINK("https://www.boe.es/gazeta/dias/1807/09/08/pdfs/GMD-1807-80.pdf#page=9","Abrir facsímil")</f>
        <v>Abrir facsímil</v>
      </c>
      <c r="K110" s="15" t="s">
        <v>22</v>
      </c>
    </row>
    <row r="111" spans="1:11" ht="42" customHeight="1">
      <c r="A111" s="4" t="s">
        <v>338</v>
      </c>
      <c r="B111" s="5" t="s">
        <v>339</v>
      </c>
      <c r="C111" s="5" t="s">
        <v>28</v>
      </c>
      <c r="D111" s="5" t="s">
        <v>29</v>
      </c>
      <c r="E111" s="5" t="s">
        <v>62</v>
      </c>
      <c r="F111" s="9">
        <v>68</v>
      </c>
      <c r="G111" s="9">
        <v>783</v>
      </c>
      <c r="H111" s="5" t="s">
        <v>20</v>
      </c>
      <c r="I111" s="5" t="s">
        <v>340</v>
      </c>
      <c r="J111" s="12" t="str">
        <f>HYPERLINK("https://www.boe.es/gazeta/dias/1807/07/31/pdfs/GMD-1807-68.pdf#page=7","Abrir facsímil")</f>
        <v>Abrir facsímil</v>
      </c>
      <c r="K111" s="15" t="s">
        <v>22</v>
      </c>
    </row>
    <row r="112" spans="1:11" ht="42" customHeight="1">
      <c r="A112" s="4" t="s">
        <v>341</v>
      </c>
      <c r="B112" s="5" t="s">
        <v>342</v>
      </c>
      <c r="C112" s="5" t="s">
        <v>28</v>
      </c>
      <c r="D112" s="5" t="s">
        <v>29</v>
      </c>
      <c r="E112" s="5" t="s">
        <v>62</v>
      </c>
      <c r="F112" s="9">
        <v>68</v>
      </c>
      <c r="G112" s="9">
        <v>787</v>
      </c>
      <c r="H112" s="5" t="s">
        <v>20</v>
      </c>
      <c r="I112" s="5" t="s">
        <v>343</v>
      </c>
      <c r="J112" s="12" t="str">
        <f>HYPERLINK("https://www.boe.es/gazeta/dias/1807/07/31/pdfs/GMD-1807-68.pdf#page=11","Abrir facsímil")</f>
        <v>Abrir facsímil</v>
      </c>
      <c r="K112" s="15" t="s">
        <v>22</v>
      </c>
    </row>
    <row r="113" spans="1:11" ht="42" customHeight="1">
      <c r="A113" s="4" t="s">
        <v>344</v>
      </c>
      <c r="B113" s="5" t="s">
        <v>345</v>
      </c>
      <c r="C113" s="5" t="s">
        <v>28</v>
      </c>
      <c r="D113" s="5" t="s">
        <v>29</v>
      </c>
      <c r="E113" s="5" t="s">
        <v>346</v>
      </c>
      <c r="F113" s="9">
        <v>21</v>
      </c>
      <c r="G113" s="9">
        <v>246</v>
      </c>
      <c r="H113" s="5" t="s">
        <v>20</v>
      </c>
      <c r="I113" s="5" t="s">
        <v>347</v>
      </c>
      <c r="J113" s="12" t="str">
        <f>HYPERLINK("https://www.boe.es/gazeta/dias/1807/03/03/pdfs/GMD-1807-21.pdf#page=10","Abrir facsímil")</f>
        <v>Abrir facsímil</v>
      </c>
      <c r="K113" s="15" t="s">
        <v>22</v>
      </c>
    </row>
    <row r="114" spans="1:11" ht="42" customHeight="1">
      <c r="A114" s="4" t="s">
        <v>348</v>
      </c>
      <c r="B114" s="5" t="s">
        <v>349</v>
      </c>
      <c r="C114" s="5" t="s">
        <v>17</v>
      </c>
      <c r="D114" s="5" t="s">
        <v>18</v>
      </c>
      <c r="E114" s="5" t="s">
        <v>350</v>
      </c>
      <c r="F114" s="9">
        <v>112</v>
      </c>
      <c r="G114" s="9">
        <v>1310</v>
      </c>
      <c r="H114" s="5" t="s">
        <v>20</v>
      </c>
      <c r="I114" s="5" t="s">
        <v>351</v>
      </c>
      <c r="J114" s="12" t="str">
        <f>HYPERLINK("https://www.boe.es/gazeta/dias/1807/12/18/pdfs/GMD-1807-112.pdf#page=10","Abrir facsímil")</f>
        <v>Abrir facsímil</v>
      </c>
      <c r="K114" s="15" t="s">
        <v>22</v>
      </c>
    </row>
    <row r="115" spans="1:11" ht="42" customHeight="1">
      <c r="A115" s="4" t="s">
        <v>352</v>
      </c>
      <c r="B115" s="5" t="s">
        <v>353</v>
      </c>
      <c r="C115" s="5" t="s">
        <v>28</v>
      </c>
      <c r="D115" s="5" t="s">
        <v>29</v>
      </c>
      <c r="E115" s="5" t="s">
        <v>186</v>
      </c>
      <c r="F115" s="9">
        <v>72</v>
      </c>
      <c r="G115" s="9">
        <v>829</v>
      </c>
      <c r="H115" s="5" t="s">
        <v>20</v>
      </c>
      <c r="I115" s="5" t="s">
        <v>354</v>
      </c>
      <c r="J115" s="12" t="str">
        <f>HYPERLINK("https://www.boe.es/gazeta/dias/1807/08/11/pdfs/GMD-1807-72.pdf#page=9","Abrir facsímil")</f>
        <v>Abrir facsímil</v>
      </c>
      <c r="K115" s="15" t="s">
        <v>22</v>
      </c>
    </row>
    <row r="116" spans="1:11" ht="42" customHeight="1">
      <c r="A116" s="4" t="s">
        <v>355</v>
      </c>
      <c r="B116" s="5" t="s">
        <v>356</v>
      </c>
      <c r="C116" s="5" t="s">
        <v>34</v>
      </c>
      <c r="D116" s="5" t="s">
        <v>35</v>
      </c>
      <c r="E116" s="5" t="s">
        <v>127</v>
      </c>
      <c r="F116" s="9">
        <v>81</v>
      </c>
      <c r="G116" s="9">
        <v>946</v>
      </c>
      <c r="H116" s="5" t="s">
        <v>20</v>
      </c>
      <c r="I116" s="5" t="s">
        <v>357</v>
      </c>
      <c r="J116" s="12" t="str">
        <f>HYPERLINK("https://www.boe.es/gazeta/dias/1807/09/11/pdfs/GMD-1807-81.pdf#page=10","Abrir facsímil")</f>
        <v>Abrir facsímil</v>
      </c>
      <c r="K116" s="15" t="s">
        <v>22</v>
      </c>
    </row>
    <row r="117" spans="1:11" ht="42" customHeight="1">
      <c r="A117" s="4" t="s">
        <v>358</v>
      </c>
      <c r="B117" s="5" t="s">
        <v>359</v>
      </c>
      <c r="C117" s="5" t="s">
        <v>89</v>
      </c>
      <c r="D117" s="5" t="s">
        <v>90</v>
      </c>
      <c r="E117" s="5" t="s">
        <v>301</v>
      </c>
      <c r="F117" s="9">
        <v>89</v>
      </c>
      <c r="G117" s="9">
        <v>1032</v>
      </c>
      <c r="H117" s="5" t="s">
        <v>20</v>
      </c>
      <c r="I117" s="5" t="s">
        <v>360</v>
      </c>
      <c r="J117" s="12" t="str">
        <f>HYPERLINK("https://www.boe.es/gazeta/dias/1807/10/02/pdfs/GMD-1807-89.pdf#page=12","Abrir facsímil")</f>
        <v>Abrir facsímil</v>
      </c>
      <c r="K117" s="15" t="s">
        <v>22</v>
      </c>
    </row>
    <row r="118" spans="1:11" ht="42" customHeight="1">
      <c r="A118" s="4" t="s">
        <v>358</v>
      </c>
      <c r="B118" s="5" t="s">
        <v>359</v>
      </c>
      <c r="C118" s="5" t="s">
        <v>28</v>
      </c>
      <c r="D118" s="5" t="s">
        <v>29</v>
      </c>
      <c r="E118" s="5" t="s">
        <v>361</v>
      </c>
      <c r="F118" s="9">
        <v>113</v>
      </c>
      <c r="G118" s="9">
        <v>1323</v>
      </c>
      <c r="H118" s="5" t="s">
        <v>20</v>
      </c>
      <c r="I118" s="5" t="s">
        <v>362</v>
      </c>
      <c r="J118" s="12" t="str">
        <f>HYPERLINK("https://www.boe.es/gazeta/dias/1807/12/22/pdfs/GMD-1807-113.pdf#page=11","Abrir facsímil")</f>
        <v>Abrir facsímil</v>
      </c>
      <c r="K118" s="15" t="s">
        <v>22</v>
      </c>
    </row>
    <row r="119" spans="1:11" ht="42" customHeight="1">
      <c r="A119" s="4" t="s">
        <v>363</v>
      </c>
      <c r="B119" s="5" t="s">
        <v>364</v>
      </c>
      <c r="C119" s="5" t="s">
        <v>28</v>
      </c>
      <c r="D119" s="5" t="s">
        <v>29</v>
      </c>
      <c r="E119" s="5" t="s">
        <v>215</v>
      </c>
      <c r="F119" s="9">
        <v>5</v>
      </c>
      <c r="G119" s="9">
        <v>45</v>
      </c>
      <c r="H119" s="5" t="s">
        <v>20</v>
      </c>
      <c r="I119" s="5" t="s">
        <v>365</v>
      </c>
      <c r="J119" s="12" t="str">
        <f>HYPERLINK("https://www.boe.es/gazeta/dias/1807/01/16/pdfs/GMD-1807-5.pdf#page=1","Abrir facsímil")</f>
        <v>Abrir facsímil</v>
      </c>
      <c r="K119" s="15" t="s">
        <v>22</v>
      </c>
    </row>
    <row r="120" spans="1:11" ht="42" customHeight="1">
      <c r="A120" s="4" t="s">
        <v>366</v>
      </c>
      <c r="B120" s="5" t="s">
        <v>367</v>
      </c>
      <c r="C120" s="5" t="s">
        <v>89</v>
      </c>
      <c r="D120" s="5" t="s">
        <v>90</v>
      </c>
      <c r="E120" s="5" t="s">
        <v>79</v>
      </c>
      <c r="F120" s="9">
        <v>11</v>
      </c>
      <c r="G120" s="9">
        <v>128</v>
      </c>
      <c r="H120" s="5" t="s">
        <v>20</v>
      </c>
      <c r="I120" s="5" t="s">
        <v>368</v>
      </c>
      <c r="J120" s="12" t="str">
        <f>HYPERLINK("https://www.boe.es/gazeta/dias/1807/01/30/pdfs/GMD-1807-11.pdf#page=12","Abrir facsímil")</f>
        <v>Abrir facsímil</v>
      </c>
      <c r="K120" s="15" t="s">
        <v>22</v>
      </c>
    </row>
    <row r="121" spans="1:11" ht="42" customHeight="1">
      <c r="A121" s="4" t="s">
        <v>366</v>
      </c>
      <c r="B121" s="5" t="s">
        <v>367</v>
      </c>
      <c r="C121" s="5" t="s">
        <v>89</v>
      </c>
      <c r="D121" s="5" t="s">
        <v>90</v>
      </c>
      <c r="E121" s="5" t="s">
        <v>266</v>
      </c>
      <c r="F121" s="9">
        <v>67</v>
      </c>
      <c r="G121" s="9">
        <v>776</v>
      </c>
      <c r="H121" s="5" t="s">
        <v>20</v>
      </c>
      <c r="I121" s="5" t="s">
        <v>369</v>
      </c>
      <c r="J121" s="12" t="str">
        <f>HYPERLINK("https://www.boe.es/gazeta/dias/1807/07/28/pdfs/GMD-1807-67.pdf#page=12","Abrir facsímil")</f>
        <v>Abrir facsímil</v>
      </c>
      <c r="K121" s="15" t="s">
        <v>22</v>
      </c>
    </row>
    <row r="122" spans="1:11" ht="42" customHeight="1">
      <c r="A122" s="4" t="s">
        <v>366</v>
      </c>
      <c r="B122" s="5" t="s">
        <v>367</v>
      </c>
      <c r="C122" s="5" t="s">
        <v>89</v>
      </c>
      <c r="D122" s="5" t="s">
        <v>90</v>
      </c>
      <c r="E122" s="5" t="s">
        <v>275</v>
      </c>
      <c r="F122" s="9">
        <v>104</v>
      </c>
      <c r="G122" s="9">
        <v>1216</v>
      </c>
      <c r="H122" s="5" t="s">
        <v>20</v>
      </c>
      <c r="I122" s="5" t="s">
        <v>370</v>
      </c>
      <c r="J122" s="12" t="str">
        <f>HYPERLINK("https://www.boe.es/gazeta/dias/1807/11/24/pdfs/GMD-1807-104.pdf#page=12","Abrir facsímil")</f>
        <v>Abrir facsímil</v>
      </c>
      <c r="K122" s="15" t="s">
        <v>22</v>
      </c>
    </row>
    <row r="123" spans="1:11" ht="42" customHeight="1">
      <c r="A123" s="4" t="s">
        <v>371</v>
      </c>
      <c r="B123" s="5" t="s">
        <v>372</v>
      </c>
      <c r="C123" s="5" t="s">
        <v>34</v>
      </c>
      <c r="D123" s="5" t="s">
        <v>35</v>
      </c>
      <c r="E123" s="5" t="s">
        <v>127</v>
      </c>
      <c r="F123" s="9">
        <v>81</v>
      </c>
      <c r="G123" s="9">
        <v>946</v>
      </c>
      <c r="H123" s="5" t="s">
        <v>20</v>
      </c>
      <c r="I123" s="5" t="s">
        <v>373</v>
      </c>
      <c r="J123" s="12" t="str">
        <f>HYPERLINK("https://www.boe.es/gazeta/dias/1807/09/11/pdfs/GMD-1807-81.pdf#page=10","Abrir facsímil")</f>
        <v>Abrir facsímil</v>
      </c>
      <c r="K123" s="15" t="s">
        <v>22</v>
      </c>
    </row>
    <row r="124" spans="1:11" ht="42" customHeight="1">
      <c r="A124" s="4" t="s">
        <v>374</v>
      </c>
      <c r="B124" s="5" t="s">
        <v>375</v>
      </c>
      <c r="C124" s="5" t="s">
        <v>49</v>
      </c>
      <c r="D124" s="5" t="s">
        <v>50</v>
      </c>
      <c r="E124" s="5" t="s">
        <v>376</v>
      </c>
      <c r="F124" s="9">
        <v>19</v>
      </c>
      <c r="G124" s="9">
        <v>217</v>
      </c>
      <c r="H124" s="5" t="s">
        <v>20</v>
      </c>
      <c r="I124" s="5" t="s">
        <v>377</v>
      </c>
      <c r="J124" s="12" t="str">
        <f>HYPERLINK("https://www.boe.es/gazeta/dias/1807/02/27/pdfs/GMD-1807-19.pdf#page=1","Abrir facsímil")</f>
        <v>Abrir facsímil</v>
      </c>
      <c r="K124" s="15" t="s">
        <v>22</v>
      </c>
    </row>
    <row r="125" spans="1:11" ht="42" customHeight="1">
      <c r="A125" s="4" t="s">
        <v>378</v>
      </c>
      <c r="B125" s="5" t="s">
        <v>379</v>
      </c>
      <c r="C125" s="5" t="s">
        <v>28</v>
      </c>
      <c r="D125" s="5" t="s">
        <v>29</v>
      </c>
      <c r="E125" s="5" t="s">
        <v>266</v>
      </c>
      <c r="F125" s="9">
        <v>67</v>
      </c>
      <c r="G125" s="9">
        <v>771</v>
      </c>
      <c r="H125" s="5" t="s">
        <v>20</v>
      </c>
      <c r="I125" s="5" t="s">
        <v>380</v>
      </c>
      <c r="J125" s="12" t="str">
        <f>HYPERLINK("https://www.boe.es/gazeta/dias/1807/07/28/pdfs/GMD-1807-67.pdf#page=7","Abrir facsímil")</f>
        <v>Abrir facsímil</v>
      </c>
      <c r="K125" s="15" t="s">
        <v>22</v>
      </c>
    </row>
    <row r="126" spans="1:11" ht="42" customHeight="1">
      <c r="A126" s="4" t="s">
        <v>381</v>
      </c>
      <c r="B126" s="5" t="s">
        <v>381</v>
      </c>
      <c r="C126" s="5" t="s">
        <v>34</v>
      </c>
      <c r="D126" s="5" t="s">
        <v>35</v>
      </c>
      <c r="E126" s="5" t="s">
        <v>245</v>
      </c>
      <c r="F126" s="9">
        <v>97</v>
      </c>
      <c r="G126" s="9">
        <v>1131</v>
      </c>
      <c r="H126" s="5" t="s">
        <v>20</v>
      </c>
      <c r="I126" s="5" t="s">
        <v>382</v>
      </c>
      <c r="J126" s="12" t="str">
        <f>HYPERLINK("https://www.boe.es/gazeta/dias/1807/10/30/pdfs/GMD-1807-97.pdf#page=11","Abrir facsímil")</f>
        <v>Abrir facsímil</v>
      </c>
      <c r="K126" s="15" t="s">
        <v>22</v>
      </c>
    </row>
    <row r="127" spans="1:11" ht="42" customHeight="1">
      <c r="A127" s="4" t="s">
        <v>383</v>
      </c>
      <c r="B127" s="5" t="s">
        <v>383</v>
      </c>
      <c r="C127" s="5" t="s">
        <v>34</v>
      </c>
      <c r="D127" s="5" t="s">
        <v>35</v>
      </c>
      <c r="E127" s="5" t="s">
        <v>384</v>
      </c>
      <c r="F127" s="9">
        <v>111</v>
      </c>
      <c r="G127" s="9">
        <v>1298</v>
      </c>
      <c r="H127" s="5" t="s">
        <v>20</v>
      </c>
      <c r="I127" s="5" t="s">
        <v>385</v>
      </c>
      <c r="J127" s="12" t="str">
        <f>HYPERLINK("https://www.boe.es/gazeta/dias/1807/12/15/pdfs/GMD-1807-111.pdf#page=10","Abrir facsímil")</f>
        <v>Abrir facsímil</v>
      </c>
      <c r="K127" s="15" t="s">
        <v>22</v>
      </c>
    </row>
    <row r="128" spans="1:11" ht="42" customHeight="1">
      <c r="A128" s="4" t="s">
        <v>386</v>
      </c>
      <c r="B128" s="5" t="s">
        <v>387</v>
      </c>
      <c r="C128" s="5" t="s">
        <v>28</v>
      </c>
      <c r="D128" s="5" t="s">
        <v>29</v>
      </c>
      <c r="E128" s="5" t="s">
        <v>114</v>
      </c>
      <c r="F128" s="9">
        <v>46</v>
      </c>
      <c r="G128" s="9">
        <v>549</v>
      </c>
      <c r="H128" s="5" t="s">
        <v>20</v>
      </c>
      <c r="I128" s="5" t="s">
        <v>388</v>
      </c>
      <c r="J128" s="12" t="str">
        <f>HYPERLINK("https://www.boe.es/gazeta/dias/1807/05/29/pdfs/GMD-1807-46.pdf#page=7","Abrir facsímil")</f>
        <v>Abrir facsímil</v>
      </c>
      <c r="K128" s="15" t="s">
        <v>22</v>
      </c>
    </row>
    <row r="129" spans="1:11" ht="42" customHeight="1">
      <c r="A129" s="4" t="s">
        <v>389</v>
      </c>
      <c r="B129" s="5" t="s">
        <v>389</v>
      </c>
      <c r="C129" s="5" t="s">
        <v>17</v>
      </c>
      <c r="D129" s="5" t="s">
        <v>18</v>
      </c>
      <c r="E129" s="5" t="s">
        <v>390</v>
      </c>
      <c r="F129" s="9">
        <v>24</v>
      </c>
      <c r="G129" s="9">
        <v>287</v>
      </c>
      <c r="H129" s="5" t="s">
        <v>20</v>
      </c>
      <c r="I129" s="5" t="s">
        <v>391</v>
      </c>
      <c r="J129" s="12" t="str">
        <f>HYPERLINK("https://www.boe.es/gazeta/dias/1807/03/13/pdfs/GMD-1807-24.pdf#page=11","Abrir facsímil")</f>
        <v>Abrir facsímil</v>
      </c>
      <c r="K129" s="15" t="s">
        <v>22</v>
      </c>
    </row>
    <row r="130" spans="1:11" ht="42" customHeight="1">
      <c r="A130" s="4" t="s">
        <v>392</v>
      </c>
      <c r="B130" s="5" t="s">
        <v>392</v>
      </c>
      <c r="C130" s="5" t="s">
        <v>34</v>
      </c>
      <c r="D130" s="5" t="s">
        <v>35</v>
      </c>
      <c r="E130" s="5" t="s">
        <v>393</v>
      </c>
      <c r="F130" s="9">
        <v>15</v>
      </c>
      <c r="G130" s="9">
        <v>173</v>
      </c>
      <c r="H130" s="5" t="s">
        <v>20</v>
      </c>
      <c r="I130" s="5" t="s">
        <v>394</v>
      </c>
      <c r="J130" s="12" t="str">
        <f>HYPERLINK("https://www.boe.es/gazeta/dias/1807/02/13/pdfs/GMD-1807-15.pdf#page=9","Abrir facsímil")</f>
        <v>Abrir facsímil</v>
      </c>
      <c r="K130" s="15" t="s">
        <v>22</v>
      </c>
    </row>
    <row r="131" spans="1:11" ht="42" customHeight="1">
      <c r="A131" s="4" t="s">
        <v>395</v>
      </c>
      <c r="B131" s="5" t="s">
        <v>396</v>
      </c>
      <c r="C131" s="5" t="s">
        <v>34</v>
      </c>
      <c r="D131" s="5" t="s">
        <v>35</v>
      </c>
      <c r="E131" s="5" t="s">
        <v>98</v>
      </c>
      <c r="F131" s="9">
        <v>34</v>
      </c>
      <c r="G131" s="9">
        <v>406</v>
      </c>
      <c r="H131" s="5" t="s">
        <v>20</v>
      </c>
      <c r="I131" s="5" t="s">
        <v>397</v>
      </c>
      <c r="J131" s="12" t="str">
        <f>HYPERLINK("https://www.boe.es/gazeta/dias/1807/04/17/pdfs/GMD-1807-34.pdf#page=10","Abrir facsímil")</f>
        <v>Abrir facsímil</v>
      </c>
      <c r="K131" s="15" t="s">
        <v>22</v>
      </c>
    </row>
    <row r="132" spans="1:11" ht="42" customHeight="1">
      <c r="A132" s="4" t="s">
        <v>398</v>
      </c>
      <c r="B132" s="5" t="s">
        <v>399</v>
      </c>
      <c r="C132" s="5" t="s">
        <v>28</v>
      </c>
      <c r="D132" s="5" t="s">
        <v>29</v>
      </c>
      <c r="E132" s="5" t="s">
        <v>91</v>
      </c>
      <c r="F132" s="9">
        <v>109</v>
      </c>
      <c r="G132" s="9">
        <v>1273</v>
      </c>
      <c r="H132" s="5" t="s">
        <v>20</v>
      </c>
      <c r="I132" s="5" t="s">
        <v>400</v>
      </c>
      <c r="J132" s="12" t="str">
        <f>HYPERLINK("https://www.boe.es/gazeta/dias/1807/12/08/pdfs/GMD-1807-109.pdf#page=9","Abrir facsímil")</f>
        <v>Abrir facsímil</v>
      </c>
      <c r="K132" s="15" t="s">
        <v>22</v>
      </c>
    </row>
    <row r="133" spans="1:11" ht="42" customHeight="1">
      <c r="A133" s="4" t="s">
        <v>401</v>
      </c>
      <c r="B133" s="5" t="s">
        <v>402</v>
      </c>
      <c r="C133" s="5" t="s">
        <v>34</v>
      </c>
      <c r="D133" s="5" t="s">
        <v>35</v>
      </c>
      <c r="E133" s="5" t="s">
        <v>190</v>
      </c>
      <c r="F133" s="9">
        <v>37</v>
      </c>
      <c r="G133" s="9">
        <v>440</v>
      </c>
      <c r="H133" s="5" t="s">
        <v>20</v>
      </c>
      <c r="I133" s="5" t="s">
        <v>403</v>
      </c>
      <c r="J133" s="12" t="str">
        <f>HYPERLINK("https://www.boe.es/gazeta/dias/1807/04/28/pdfs/GMD-1807-37.pdf#page=8","Abrir facsímil")</f>
        <v>Abrir facsímil</v>
      </c>
      <c r="K133" s="15" t="s">
        <v>22</v>
      </c>
    </row>
    <row r="134" spans="1:11" ht="42" customHeight="1">
      <c r="A134" s="4" t="s">
        <v>404</v>
      </c>
      <c r="B134" s="5" t="s">
        <v>405</v>
      </c>
      <c r="C134" s="5" t="s">
        <v>28</v>
      </c>
      <c r="D134" s="5" t="s">
        <v>29</v>
      </c>
      <c r="E134" s="5" t="s">
        <v>406</v>
      </c>
      <c r="F134" s="9">
        <v>82</v>
      </c>
      <c r="G134" s="9">
        <v>956</v>
      </c>
      <c r="H134" s="5" t="s">
        <v>20</v>
      </c>
      <c r="I134" s="5" t="s">
        <v>407</v>
      </c>
      <c r="J134" s="12" t="str">
        <f>HYPERLINK("https://www.boe.es/gazeta/dias/1807/09/15/pdfs/GMD-1807-82.pdf#page=8","Abrir facsímil")</f>
        <v>Abrir facsímil</v>
      </c>
      <c r="K134" s="15" t="s">
        <v>22</v>
      </c>
    </row>
    <row r="135" spans="1:11" ht="42" customHeight="1">
      <c r="A135" s="4" t="s">
        <v>408</v>
      </c>
      <c r="B135" s="5" t="s">
        <v>408</v>
      </c>
      <c r="C135" s="5" t="s">
        <v>34</v>
      </c>
      <c r="D135" s="5" t="s">
        <v>35</v>
      </c>
      <c r="E135" s="5" t="s">
        <v>319</v>
      </c>
      <c r="F135" s="9">
        <v>54</v>
      </c>
      <c r="G135" s="9">
        <v>645</v>
      </c>
      <c r="H135" s="5" t="s">
        <v>20</v>
      </c>
      <c r="I135" s="5" t="s">
        <v>409</v>
      </c>
      <c r="J135" s="12" t="str">
        <f>HYPERLINK("https://www.boe.es/gazeta/dias/1807/06/26/pdfs/GMD-1807-54.pdf#page=7","Abrir facsímil")</f>
        <v>Abrir facsímil</v>
      </c>
      <c r="K135" s="15" t="s">
        <v>22</v>
      </c>
    </row>
    <row r="136" spans="1:11" ht="42" customHeight="1">
      <c r="A136" s="4" t="s">
        <v>410</v>
      </c>
      <c r="B136" s="5" t="s">
        <v>411</v>
      </c>
      <c r="C136" s="5" t="s">
        <v>89</v>
      </c>
      <c r="D136" s="5" t="s">
        <v>90</v>
      </c>
      <c r="E136" s="5" t="s">
        <v>350</v>
      </c>
      <c r="F136" s="9">
        <v>112</v>
      </c>
      <c r="G136" s="9">
        <v>1311</v>
      </c>
      <c r="H136" s="5" t="s">
        <v>20</v>
      </c>
      <c r="I136" s="5" t="s">
        <v>412</v>
      </c>
      <c r="J136" s="12" t="str">
        <f>HYPERLINK("https://www.boe.es/gazeta/dias/1807/12/18/pdfs/GMD-1807-112.pdf#page=11","Abrir facsímil")</f>
        <v>Abrir facsímil</v>
      </c>
      <c r="K136" s="15" t="s">
        <v>22</v>
      </c>
    </row>
    <row r="137" spans="1:11" ht="42" customHeight="1">
      <c r="A137" s="4" t="s">
        <v>413</v>
      </c>
      <c r="B137" s="5" t="s">
        <v>413</v>
      </c>
      <c r="C137" s="5" t="s">
        <v>28</v>
      </c>
      <c r="D137" s="5" t="s">
        <v>29</v>
      </c>
      <c r="E137" s="5" t="s">
        <v>414</v>
      </c>
      <c r="F137" s="9">
        <v>40</v>
      </c>
      <c r="G137" s="9">
        <v>481</v>
      </c>
      <c r="H137" s="5" t="s">
        <v>20</v>
      </c>
      <c r="I137" s="5" t="s">
        <v>415</v>
      </c>
      <c r="J137" s="12" t="str">
        <f>HYPERLINK("https://www.boe.es/gazeta/dias/1807/05/08/pdfs/GMD-1807-40.pdf#page=11","Abrir facsímil")</f>
        <v>Abrir facsímil</v>
      </c>
      <c r="K137" s="15" t="s">
        <v>22</v>
      </c>
    </row>
    <row r="138" spans="1:11" ht="42" customHeight="1">
      <c r="A138" s="4" t="s">
        <v>416</v>
      </c>
      <c r="B138" s="5" t="s">
        <v>417</v>
      </c>
      <c r="C138" s="5" t="s">
        <v>28</v>
      </c>
      <c r="D138" s="5" t="s">
        <v>29</v>
      </c>
      <c r="E138" s="5" t="s">
        <v>418</v>
      </c>
      <c r="F138" s="9">
        <v>4</v>
      </c>
      <c r="G138" s="9">
        <v>44</v>
      </c>
      <c r="H138" s="5" t="s">
        <v>20</v>
      </c>
      <c r="I138" s="5" t="s">
        <v>419</v>
      </c>
      <c r="J138" s="12" t="str">
        <f>HYPERLINK("https://www.boe.es/gazeta/dias/1807/01/13/pdfs/GMD-1807-4.pdf#page=12","Abrir facsímil")</f>
        <v>Abrir facsímil</v>
      </c>
      <c r="K138" s="15" t="s">
        <v>22</v>
      </c>
    </row>
    <row r="139" spans="1:11" ht="42" customHeight="1">
      <c r="A139" s="4" t="s">
        <v>420</v>
      </c>
      <c r="B139" s="5" t="s">
        <v>421</v>
      </c>
      <c r="C139" s="5" t="s">
        <v>34</v>
      </c>
      <c r="D139" s="5" t="s">
        <v>35</v>
      </c>
      <c r="E139" s="5" t="s">
        <v>422</v>
      </c>
      <c r="F139" s="9">
        <v>33</v>
      </c>
      <c r="G139" s="9">
        <v>395</v>
      </c>
      <c r="H139" s="5" t="s">
        <v>20</v>
      </c>
      <c r="I139" s="5" t="s">
        <v>423</v>
      </c>
      <c r="J139" s="12" t="str">
        <f>HYPERLINK("https://www.boe.es/gazeta/dias/1807/04/14/pdfs/GMD-1807-33.pdf#page=11","Abrir facsímil")</f>
        <v>Abrir facsímil</v>
      </c>
      <c r="K139" s="15" t="s">
        <v>22</v>
      </c>
    </row>
    <row r="140" spans="1:11" ht="42" customHeight="1">
      <c r="A140" s="4" t="s">
        <v>424</v>
      </c>
      <c r="B140" s="5" t="s">
        <v>425</v>
      </c>
      <c r="C140" s="5" t="s">
        <v>34</v>
      </c>
      <c r="D140" s="5" t="s">
        <v>35</v>
      </c>
      <c r="E140" s="5" t="s">
        <v>426</v>
      </c>
      <c r="F140" s="9">
        <v>93</v>
      </c>
      <c r="G140" s="9">
        <v>1080</v>
      </c>
      <c r="H140" s="5" t="s">
        <v>20</v>
      </c>
      <c r="I140" s="5" t="s">
        <v>427</v>
      </c>
      <c r="J140" s="12" t="str">
        <f>HYPERLINK("https://www.boe.es/gazeta/dias/1807/10/16/pdfs/GMD-1807-93.pdf#page=8","Abrir facsímil")</f>
        <v>Abrir facsímil</v>
      </c>
      <c r="K140" s="15" t="s">
        <v>22</v>
      </c>
    </row>
    <row r="141" spans="1:11" ht="42" customHeight="1">
      <c r="A141" s="4" t="s">
        <v>428</v>
      </c>
      <c r="B141" s="5" t="s">
        <v>428</v>
      </c>
      <c r="C141" s="5" t="s">
        <v>34</v>
      </c>
      <c r="D141" s="5" t="s">
        <v>35</v>
      </c>
      <c r="E141" s="5" t="s">
        <v>215</v>
      </c>
      <c r="F141" s="9">
        <v>5</v>
      </c>
      <c r="G141" s="9">
        <v>55</v>
      </c>
      <c r="H141" s="5" t="s">
        <v>20</v>
      </c>
      <c r="I141" s="5" t="s">
        <v>429</v>
      </c>
      <c r="J141" s="12" t="str">
        <f>HYPERLINK("https://www.boe.es/gazeta/dias/1807/01/16/pdfs/GMD-1807-5.pdf#page=11","Abrir facsímil")</f>
        <v>Abrir facsímil</v>
      </c>
      <c r="K141" s="15" t="s">
        <v>22</v>
      </c>
    </row>
    <row r="142" spans="1:11" ht="42" customHeight="1">
      <c r="A142" s="4" t="s">
        <v>430</v>
      </c>
      <c r="B142" s="5" t="s">
        <v>430</v>
      </c>
      <c r="C142" s="5" t="s">
        <v>89</v>
      </c>
      <c r="D142" s="5" t="s">
        <v>90</v>
      </c>
      <c r="E142" s="5" t="s">
        <v>426</v>
      </c>
      <c r="F142" s="9">
        <v>93</v>
      </c>
      <c r="G142" s="9">
        <v>1081</v>
      </c>
      <c r="H142" s="5" t="s">
        <v>20</v>
      </c>
      <c r="I142" s="5" t="s">
        <v>431</v>
      </c>
      <c r="J142" s="12" t="str">
        <f>HYPERLINK("https://www.boe.es/gazeta/dias/1807/10/16/pdfs/GMD-1807-93.pdf#page=9","Abrir facsímil")</f>
        <v>Abrir facsímil</v>
      </c>
      <c r="K142" s="15" t="s">
        <v>22</v>
      </c>
    </row>
    <row r="143" spans="1:11" ht="42" customHeight="1">
      <c r="A143" s="4" t="s">
        <v>432</v>
      </c>
      <c r="B143" s="5" t="s">
        <v>432</v>
      </c>
      <c r="C143" s="5" t="s">
        <v>28</v>
      </c>
      <c r="D143" s="5" t="s">
        <v>29</v>
      </c>
      <c r="E143" s="5" t="s">
        <v>42</v>
      </c>
      <c r="F143" s="9">
        <v>31</v>
      </c>
      <c r="G143" s="9">
        <v>367</v>
      </c>
      <c r="H143" s="5" t="s">
        <v>20</v>
      </c>
      <c r="I143" s="5" t="s">
        <v>433</v>
      </c>
      <c r="J143" s="12" t="str">
        <f>HYPERLINK("https://www.boe.es/gazeta/dias/1807/04/07/pdfs/GMD-1807-31.pdf#page=7","Abrir facsímil")</f>
        <v>Abrir facsímil</v>
      </c>
      <c r="K143" s="15" t="s">
        <v>22</v>
      </c>
    </row>
    <row r="144" spans="1:11" ht="42" customHeight="1">
      <c r="A144" s="4" t="s">
        <v>434</v>
      </c>
      <c r="B144" s="5" t="s">
        <v>434</v>
      </c>
      <c r="C144" s="5" t="s">
        <v>28</v>
      </c>
      <c r="D144" s="5" t="s">
        <v>29</v>
      </c>
      <c r="E144" s="5" t="s">
        <v>186</v>
      </c>
      <c r="F144" s="9">
        <v>72</v>
      </c>
      <c r="G144" s="9">
        <v>828</v>
      </c>
      <c r="H144" s="5" t="s">
        <v>20</v>
      </c>
      <c r="I144" s="5" t="s">
        <v>435</v>
      </c>
      <c r="J144" s="12" t="str">
        <f>HYPERLINK("https://www.boe.es/gazeta/dias/1807/08/11/pdfs/GMD-1807-72.pdf#page=8","Abrir facsímil")</f>
        <v>Abrir facsímil</v>
      </c>
      <c r="K144" s="15" t="s">
        <v>22</v>
      </c>
    </row>
    <row r="145" spans="1:11" ht="42" customHeight="1">
      <c r="A145" s="4" t="s">
        <v>436</v>
      </c>
      <c r="B145" s="5" t="s">
        <v>437</v>
      </c>
      <c r="C145" s="5" t="s">
        <v>28</v>
      </c>
      <c r="D145" s="5" t="s">
        <v>29</v>
      </c>
      <c r="E145" s="5" t="s">
        <v>346</v>
      </c>
      <c r="F145" s="9">
        <v>21</v>
      </c>
      <c r="G145" s="9">
        <v>246</v>
      </c>
      <c r="H145" s="5" t="s">
        <v>20</v>
      </c>
      <c r="I145" s="5" t="s">
        <v>438</v>
      </c>
      <c r="J145" s="12" t="str">
        <f>HYPERLINK("https://www.boe.es/gazeta/dias/1807/03/03/pdfs/GMD-1807-21.pdf#page=10","Abrir facsímil")</f>
        <v>Abrir facsímil</v>
      </c>
      <c r="K145" s="15" t="s">
        <v>22</v>
      </c>
    </row>
    <row r="146" spans="1:11" ht="42" customHeight="1">
      <c r="A146" s="4" t="s">
        <v>439</v>
      </c>
      <c r="B146" s="5" t="s">
        <v>439</v>
      </c>
      <c r="C146" s="5" t="s">
        <v>24</v>
      </c>
      <c r="D146" s="5" t="s">
        <v>18</v>
      </c>
      <c r="E146" s="5" t="s">
        <v>46</v>
      </c>
      <c r="F146" s="9">
        <v>78</v>
      </c>
      <c r="G146" s="9">
        <v>907</v>
      </c>
      <c r="H146" s="5" t="s">
        <v>20</v>
      </c>
      <c r="I146" s="5" t="s">
        <v>440</v>
      </c>
      <c r="J146" s="12" t="str">
        <f>HYPERLINK("https://www.boe.es/gazeta/dias/1807/09/01/pdfs/GMD-1807-78.pdf#page=11","Abrir facsímil")</f>
        <v>Abrir facsímil</v>
      </c>
      <c r="K146" s="15" t="s">
        <v>22</v>
      </c>
    </row>
    <row r="147" spans="1:11" ht="42" customHeight="1">
      <c r="A147" s="4" t="s">
        <v>439</v>
      </c>
      <c r="B147" s="5" t="s">
        <v>439</v>
      </c>
      <c r="C147" s="5" t="s">
        <v>28</v>
      </c>
      <c r="D147" s="5" t="s">
        <v>29</v>
      </c>
      <c r="E147" s="5" t="s">
        <v>441</v>
      </c>
      <c r="F147" s="9">
        <v>92</v>
      </c>
      <c r="G147" s="9">
        <v>1070</v>
      </c>
      <c r="H147" s="5" t="s">
        <v>20</v>
      </c>
      <c r="I147" s="5" t="s">
        <v>442</v>
      </c>
      <c r="J147" s="12" t="str">
        <f>HYPERLINK("https://www.boe.es/gazeta/dias/1807/10/13/pdfs/GMD-1807-92.pdf#page=10","Abrir facsímil")</f>
        <v>Abrir facsímil</v>
      </c>
      <c r="K147" s="15" t="s">
        <v>22</v>
      </c>
    </row>
    <row r="148" spans="1:11" ht="42" customHeight="1">
      <c r="A148" s="4" t="s">
        <v>443</v>
      </c>
      <c r="B148" s="5" t="s">
        <v>443</v>
      </c>
      <c r="C148" s="5" t="s">
        <v>34</v>
      </c>
      <c r="D148" s="5" t="s">
        <v>35</v>
      </c>
      <c r="E148" s="5" t="s">
        <v>444</v>
      </c>
      <c r="F148" s="9">
        <v>95</v>
      </c>
      <c r="G148" s="9">
        <v>1107</v>
      </c>
      <c r="H148" s="5" t="s">
        <v>20</v>
      </c>
      <c r="I148" s="5" t="s">
        <v>445</v>
      </c>
      <c r="J148" s="12" t="str">
        <f>HYPERLINK("https://www.boe.es/gazeta/dias/1807/10/23/pdfs/GMD-1807-95.pdf#page=11","Abrir facsímil")</f>
        <v>Abrir facsímil</v>
      </c>
      <c r="K148" s="15" t="s">
        <v>22</v>
      </c>
    </row>
    <row r="149" spans="1:11" ht="42" customHeight="1">
      <c r="A149" s="4" t="s">
        <v>446</v>
      </c>
      <c r="B149" s="5" t="s">
        <v>446</v>
      </c>
      <c r="C149" s="5" t="s">
        <v>24</v>
      </c>
      <c r="D149" s="5" t="s">
        <v>18</v>
      </c>
      <c r="E149" s="5" t="s">
        <v>447</v>
      </c>
      <c r="F149" s="9">
        <v>65</v>
      </c>
      <c r="G149" s="9">
        <v>760</v>
      </c>
      <c r="H149" s="5" t="s">
        <v>20</v>
      </c>
      <c r="I149" s="5" t="s">
        <v>448</v>
      </c>
      <c r="J149" s="12" t="str">
        <f>HYPERLINK("https://www.boe.es/gazeta/dias/1807/07/24/pdfs/GMD-1807-65.pdf#page=10","Abrir facsímil")</f>
        <v>Abrir facsímil</v>
      </c>
      <c r="K149" s="15" t="s">
        <v>22</v>
      </c>
    </row>
    <row r="150" spans="1:11" ht="42" customHeight="1">
      <c r="A150" s="4" t="s">
        <v>449</v>
      </c>
      <c r="B150" s="5" t="s">
        <v>450</v>
      </c>
      <c r="C150" s="5" t="s">
        <v>24</v>
      </c>
      <c r="D150" s="5" t="s">
        <v>18</v>
      </c>
      <c r="E150" s="5" t="s">
        <v>224</v>
      </c>
      <c r="F150" s="9">
        <v>91</v>
      </c>
      <c r="G150" s="9">
        <v>1060</v>
      </c>
      <c r="H150" s="5" t="s">
        <v>20</v>
      </c>
      <c r="I150" s="5" t="s">
        <v>451</v>
      </c>
      <c r="J150" s="12" t="str">
        <f>HYPERLINK("https://www.boe.es/gazeta/dias/1807/10/09/pdfs/GMD-1807-91.pdf#page=12","Abrir facsímil")</f>
        <v>Abrir facsímil</v>
      </c>
      <c r="K150" s="15" t="s">
        <v>22</v>
      </c>
    </row>
    <row r="151" spans="1:11" ht="42" customHeight="1">
      <c r="A151" s="4" t="s">
        <v>452</v>
      </c>
      <c r="B151" s="5" t="s">
        <v>453</v>
      </c>
      <c r="C151" s="5" t="s">
        <v>24</v>
      </c>
      <c r="D151" s="5" t="s">
        <v>18</v>
      </c>
      <c r="E151" s="5" t="s">
        <v>139</v>
      </c>
      <c r="F151" s="9">
        <v>110</v>
      </c>
      <c r="G151" s="9">
        <v>1285</v>
      </c>
      <c r="H151" s="5" t="s">
        <v>20</v>
      </c>
      <c r="I151" s="5" t="s">
        <v>454</v>
      </c>
      <c r="J151" s="12" t="str">
        <f>HYPERLINK("https://www.boe.es/gazeta/dias/1807/12/11/pdfs/GMD-1807-110.pdf#page=9","Abrir facsímil")</f>
        <v>Abrir facsímil</v>
      </c>
      <c r="K151" s="15" t="s">
        <v>22</v>
      </c>
    </row>
    <row r="152" spans="1:11" ht="42" customHeight="1">
      <c r="A152" s="4" t="s">
        <v>455</v>
      </c>
      <c r="B152" s="5" t="s">
        <v>455</v>
      </c>
      <c r="C152" s="5" t="s">
        <v>34</v>
      </c>
      <c r="D152" s="5" t="s">
        <v>35</v>
      </c>
      <c r="E152" s="5" t="s">
        <v>208</v>
      </c>
      <c r="F152" s="9">
        <v>42</v>
      </c>
      <c r="G152" s="9">
        <v>502</v>
      </c>
      <c r="H152" s="5" t="s">
        <v>20</v>
      </c>
      <c r="I152" s="5" t="s">
        <v>456</v>
      </c>
      <c r="J152" s="12" t="str">
        <f>HYPERLINK("https://www.boe.es/gazeta/dias/1807/05/15/pdfs/GMD-1807-42.pdf#page=8","Abrir facsímil")</f>
        <v>Abrir facsímil</v>
      </c>
      <c r="K152" s="15" t="s">
        <v>22</v>
      </c>
    </row>
    <row r="153" spans="1:11" ht="42" customHeight="1">
      <c r="A153" s="4" t="s">
        <v>457</v>
      </c>
      <c r="B153" s="5" t="s">
        <v>458</v>
      </c>
      <c r="C153" s="5" t="s">
        <v>49</v>
      </c>
      <c r="D153" s="5" t="s">
        <v>50</v>
      </c>
      <c r="E153" s="5" t="s">
        <v>176</v>
      </c>
      <c r="F153" s="9">
        <v>17</v>
      </c>
      <c r="G153" s="9">
        <v>191</v>
      </c>
      <c r="H153" s="5" t="s">
        <v>20</v>
      </c>
      <c r="I153" s="5" t="s">
        <v>459</v>
      </c>
      <c r="J153" s="12" t="str">
        <f>HYPERLINK("https://www.boe.es/gazeta/dias/1807/02/20/pdfs/GMD-1807-17.pdf#page=3","Abrir facsímil")</f>
        <v>Abrir facsímil</v>
      </c>
      <c r="K153" s="15" t="s">
        <v>22</v>
      </c>
    </row>
    <row r="154" spans="1:11" ht="42" customHeight="1">
      <c r="A154" s="4" t="s">
        <v>460</v>
      </c>
      <c r="B154" s="5" t="s">
        <v>460</v>
      </c>
      <c r="C154" s="5" t="s">
        <v>24</v>
      </c>
      <c r="D154" s="5" t="s">
        <v>18</v>
      </c>
      <c r="E154" s="5" t="s">
        <v>461</v>
      </c>
      <c r="F154" s="9">
        <v>99</v>
      </c>
      <c r="G154" s="9">
        <v>1154</v>
      </c>
      <c r="H154" s="5" t="s">
        <v>20</v>
      </c>
      <c r="I154" s="5" t="s">
        <v>462</v>
      </c>
      <c r="J154" s="12" t="str">
        <f>HYPERLINK("https://www.boe.es/gazeta/dias/1807/11/06/pdfs/GMD-1807-99.pdf#page=10","Abrir facsímil")</f>
        <v>Abrir facsímil</v>
      </c>
      <c r="K154" s="15" t="s">
        <v>22</v>
      </c>
    </row>
    <row r="155" spans="1:11" ht="42" customHeight="1">
      <c r="A155" s="4" t="s">
        <v>463</v>
      </c>
      <c r="B155" s="5" t="s">
        <v>463</v>
      </c>
      <c r="C155" s="5" t="s">
        <v>34</v>
      </c>
      <c r="D155" s="5" t="s">
        <v>35</v>
      </c>
      <c r="E155" s="5" t="s">
        <v>464</v>
      </c>
      <c r="F155" s="9">
        <v>18</v>
      </c>
      <c r="G155" s="9">
        <v>213</v>
      </c>
      <c r="H155" s="5" t="s">
        <v>20</v>
      </c>
      <c r="I155" s="5" t="s">
        <v>465</v>
      </c>
      <c r="J155" s="12" t="str">
        <f>HYPERLINK("https://www.boe.es/gazeta/dias/1807/02/24/pdfs/GMD-1807-18.pdf#page=13","Abrir facsímil")</f>
        <v>Abrir facsímil</v>
      </c>
      <c r="K155" s="15" t="s">
        <v>22</v>
      </c>
    </row>
    <row r="156" spans="1:11" ht="42" customHeight="1">
      <c r="A156" s="4" t="s">
        <v>466</v>
      </c>
      <c r="B156" s="5" t="s">
        <v>467</v>
      </c>
      <c r="C156" s="5" t="s">
        <v>34</v>
      </c>
      <c r="D156" s="5" t="s">
        <v>35</v>
      </c>
      <c r="E156" s="5" t="s">
        <v>79</v>
      </c>
      <c r="F156" s="9">
        <v>11</v>
      </c>
      <c r="G156" s="9">
        <v>124</v>
      </c>
      <c r="H156" s="5" t="s">
        <v>20</v>
      </c>
      <c r="I156" s="5" t="s">
        <v>468</v>
      </c>
      <c r="J156" s="12" t="str">
        <f>HYPERLINK("https://www.boe.es/gazeta/dias/1807/01/30/pdfs/GMD-1807-11.pdf#page=8","Abrir facsímil")</f>
        <v>Abrir facsímil</v>
      </c>
      <c r="K156" s="15" t="s">
        <v>22</v>
      </c>
    </row>
    <row r="157" spans="1:11" ht="42" customHeight="1">
      <c r="A157" s="4" t="s">
        <v>469</v>
      </c>
      <c r="B157" s="5" t="s">
        <v>470</v>
      </c>
      <c r="C157" s="5" t="s">
        <v>34</v>
      </c>
      <c r="D157" s="5" t="s">
        <v>35</v>
      </c>
      <c r="E157" s="5" t="s">
        <v>471</v>
      </c>
      <c r="F157" s="9">
        <v>51</v>
      </c>
      <c r="G157" s="9">
        <v>605</v>
      </c>
      <c r="H157" s="5" t="s">
        <v>20</v>
      </c>
      <c r="I157" s="5" t="s">
        <v>472</v>
      </c>
      <c r="J157" s="12" t="str">
        <f>HYPERLINK("https://www.boe.es/gazeta/dias/1807/06/16/pdfs/GMD-1807-51.pdf#page=7","Abrir facsímil")</f>
        <v>Abrir facsímil</v>
      </c>
      <c r="K157" s="15" t="s">
        <v>22</v>
      </c>
    </row>
    <row r="158" spans="1:11" ht="42" customHeight="1">
      <c r="A158" s="4" t="s">
        <v>473</v>
      </c>
      <c r="B158" s="5" t="s">
        <v>474</v>
      </c>
      <c r="C158" s="5" t="s">
        <v>28</v>
      </c>
      <c r="D158" s="5" t="s">
        <v>29</v>
      </c>
      <c r="E158" s="5" t="s">
        <v>179</v>
      </c>
      <c r="F158" s="9">
        <v>100</v>
      </c>
      <c r="G158" s="9">
        <v>1164</v>
      </c>
      <c r="H158" s="5" t="s">
        <v>20</v>
      </c>
      <c r="I158" s="5" t="s">
        <v>475</v>
      </c>
      <c r="J158" s="12" t="str">
        <f>HYPERLINK("https://www.boe.es/gazeta/dias/1807/11/10/pdfs/GMD-1807-100.pdf#page=8","Abrir facsímil")</f>
        <v>Abrir facsímil</v>
      </c>
      <c r="K158" s="15" t="s">
        <v>22</v>
      </c>
    </row>
    <row r="159" spans="1:11" ht="42" customHeight="1">
      <c r="A159" s="4" t="s">
        <v>476</v>
      </c>
      <c r="B159" s="5" t="s">
        <v>477</v>
      </c>
      <c r="C159" s="5" t="s">
        <v>34</v>
      </c>
      <c r="D159" s="5" t="s">
        <v>35</v>
      </c>
      <c r="E159" s="5" t="s">
        <v>478</v>
      </c>
      <c r="F159" s="9">
        <v>30</v>
      </c>
      <c r="G159" s="9">
        <v>357</v>
      </c>
      <c r="H159" s="5" t="s">
        <v>20</v>
      </c>
      <c r="I159" s="5" t="s">
        <v>479</v>
      </c>
      <c r="J159" s="12" t="str">
        <f>HYPERLINK("https://www.boe.es/gazeta/dias/1807/04/03/pdfs/GMD-1807-30.pdf#page=9","Abrir facsímil")</f>
        <v>Abrir facsímil</v>
      </c>
      <c r="K159" s="15" t="s">
        <v>22</v>
      </c>
    </row>
    <row r="160" spans="1:11" ht="42" customHeight="1">
      <c r="A160" s="4" t="s">
        <v>480</v>
      </c>
      <c r="B160" s="5" t="s">
        <v>481</v>
      </c>
      <c r="C160" s="5" t="s">
        <v>34</v>
      </c>
      <c r="D160" s="5" t="s">
        <v>35</v>
      </c>
      <c r="E160" s="5" t="s">
        <v>156</v>
      </c>
      <c r="F160" s="9">
        <v>74</v>
      </c>
      <c r="G160" s="9">
        <v>856</v>
      </c>
      <c r="H160" s="5" t="s">
        <v>20</v>
      </c>
      <c r="I160" s="5" t="s">
        <v>482</v>
      </c>
      <c r="J160" s="12" t="str">
        <f>HYPERLINK("https://www.boe.es/gazeta/dias/1807/08/18/pdfs/GMD-1807-74.pdf#page=8","Abrir facsímil")</f>
        <v>Abrir facsímil</v>
      </c>
      <c r="K160" s="15" t="s">
        <v>22</v>
      </c>
    </row>
    <row r="161" spans="1:11" ht="42" customHeight="1">
      <c r="A161" s="4" t="s">
        <v>483</v>
      </c>
      <c r="B161" s="5" t="s">
        <v>484</v>
      </c>
      <c r="C161" s="5" t="s">
        <v>34</v>
      </c>
      <c r="D161" s="5" t="s">
        <v>35</v>
      </c>
      <c r="E161" s="5" t="s">
        <v>114</v>
      </c>
      <c r="F161" s="9">
        <v>46</v>
      </c>
      <c r="G161" s="9">
        <v>549</v>
      </c>
      <c r="H161" s="5" t="s">
        <v>20</v>
      </c>
      <c r="I161" s="5" t="s">
        <v>485</v>
      </c>
      <c r="J161" s="12" t="str">
        <f>HYPERLINK("https://www.boe.es/gazeta/dias/1807/05/29/pdfs/GMD-1807-46.pdf#page=7","Abrir facsímil")</f>
        <v>Abrir facsímil</v>
      </c>
      <c r="K161" s="15" t="s">
        <v>22</v>
      </c>
    </row>
    <row r="162" spans="1:11" ht="42" customHeight="1">
      <c r="A162" s="4" t="s">
        <v>486</v>
      </c>
      <c r="B162" s="5" t="s">
        <v>487</v>
      </c>
      <c r="C162" s="5" t="s">
        <v>34</v>
      </c>
      <c r="D162" s="5" t="s">
        <v>35</v>
      </c>
      <c r="E162" s="5" t="s">
        <v>393</v>
      </c>
      <c r="F162" s="9">
        <v>15</v>
      </c>
      <c r="G162" s="9">
        <v>172</v>
      </c>
      <c r="H162" s="5" t="s">
        <v>20</v>
      </c>
      <c r="I162" s="5" t="s">
        <v>488</v>
      </c>
      <c r="J162" s="12" t="str">
        <f>HYPERLINK("https://www.boe.es/gazeta/dias/1807/02/13/pdfs/GMD-1807-15.pdf#page=8","Abrir facsímil")</f>
        <v>Abrir facsímil</v>
      </c>
      <c r="K162" s="15" t="s">
        <v>22</v>
      </c>
    </row>
    <row r="163" spans="1:11" ht="42" customHeight="1">
      <c r="A163" s="4" t="s">
        <v>489</v>
      </c>
      <c r="B163" s="5" t="s">
        <v>490</v>
      </c>
      <c r="C163" s="5" t="s">
        <v>17</v>
      </c>
      <c r="D163" s="5" t="s">
        <v>18</v>
      </c>
      <c r="E163" s="5" t="s">
        <v>131</v>
      </c>
      <c r="F163" s="9">
        <v>28</v>
      </c>
      <c r="G163" s="9">
        <v>334</v>
      </c>
      <c r="H163" s="5" t="s">
        <v>20</v>
      </c>
      <c r="I163" s="5" t="s">
        <v>491</v>
      </c>
      <c r="J163" s="12" t="str">
        <f>HYPERLINK("https://www.boe.es/gazeta/dias/1807/03/27/pdfs/GMD-1807-28.pdf#page=6","Abrir facsímil")</f>
        <v>Abrir facsímil</v>
      </c>
      <c r="K163" s="15" t="s">
        <v>22</v>
      </c>
    </row>
    <row r="164" spans="1:11" ht="42" customHeight="1">
      <c r="A164" s="4" t="s">
        <v>492</v>
      </c>
      <c r="B164" s="5" t="s">
        <v>492</v>
      </c>
      <c r="C164" s="5" t="s">
        <v>49</v>
      </c>
      <c r="D164" s="5" t="s">
        <v>50</v>
      </c>
      <c r="E164" s="5" t="s">
        <v>422</v>
      </c>
      <c r="F164" s="9">
        <v>33</v>
      </c>
      <c r="G164" s="9">
        <v>388</v>
      </c>
      <c r="H164" s="5" t="s">
        <v>20</v>
      </c>
      <c r="I164" s="5" t="s">
        <v>493</v>
      </c>
      <c r="J164" s="12" t="str">
        <f>HYPERLINK("https://www.boe.es/gazeta/dias/1807/04/14/pdfs/GMD-1807-33.pdf#page=4","Abrir facsímil")</f>
        <v>Abrir facsímil</v>
      </c>
      <c r="K164" s="15" t="s">
        <v>22</v>
      </c>
    </row>
    <row r="165" spans="1:11" ht="42" customHeight="1">
      <c r="A165" s="4" t="s">
        <v>494</v>
      </c>
      <c r="B165" s="5" t="s">
        <v>494</v>
      </c>
      <c r="C165" s="5" t="s">
        <v>49</v>
      </c>
      <c r="D165" s="5" t="s">
        <v>50</v>
      </c>
      <c r="E165" s="5" t="s">
        <v>390</v>
      </c>
      <c r="F165" s="9">
        <v>24</v>
      </c>
      <c r="G165" s="9">
        <v>279</v>
      </c>
      <c r="H165" s="5" t="s">
        <v>20</v>
      </c>
      <c r="I165" s="5" t="s">
        <v>495</v>
      </c>
      <c r="J165" s="12" t="str">
        <f>HYPERLINK("https://www.boe.es/gazeta/dias/1807/03/13/pdfs/GMD-1807-24.pdf#page=3","Abrir facsímil")</f>
        <v>Abrir facsímil</v>
      </c>
      <c r="K165" s="15" t="s">
        <v>22</v>
      </c>
    </row>
    <row r="166" spans="1:11" ht="42" customHeight="1">
      <c r="A166" s="4" t="s">
        <v>496</v>
      </c>
      <c r="B166" s="5" t="s">
        <v>496</v>
      </c>
      <c r="C166" s="5" t="s">
        <v>49</v>
      </c>
      <c r="D166" s="5" t="s">
        <v>50</v>
      </c>
      <c r="E166" s="5" t="s">
        <v>94</v>
      </c>
      <c r="F166" s="9">
        <v>22</v>
      </c>
      <c r="G166" s="9">
        <v>253</v>
      </c>
      <c r="H166" s="5" t="s">
        <v>20</v>
      </c>
      <c r="I166" s="5" t="s">
        <v>497</v>
      </c>
      <c r="J166" s="12" t="str">
        <f>HYPERLINK("https://www.boe.es/gazeta/dias/1807/03/06/pdfs/GMD-1807-22.pdf#page=5","Abrir facsímil")</f>
        <v>Abrir facsímil</v>
      </c>
      <c r="K166" s="15" t="s">
        <v>22</v>
      </c>
    </row>
    <row r="167" spans="1:11" ht="42" customHeight="1">
      <c r="A167" s="4" t="s">
        <v>496</v>
      </c>
      <c r="B167" s="5" t="s">
        <v>496</v>
      </c>
      <c r="C167" s="5" t="s">
        <v>49</v>
      </c>
      <c r="D167" s="5" t="s">
        <v>50</v>
      </c>
      <c r="E167" s="5" t="s">
        <v>498</v>
      </c>
      <c r="F167" s="9">
        <v>32</v>
      </c>
      <c r="G167" s="9">
        <v>373</v>
      </c>
      <c r="H167" s="5" t="s">
        <v>20</v>
      </c>
      <c r="I167" s="5" t="s">
        <v>499</v>
      </c>
      <c r="J167" s="12" t="str">
        <f>HYPERLINK("https://www.boe.es/gazeta/dias/1807/04/10/pdfs/GMD-1807-32.pdf#page=1","Abrir facsímil")</f>
        <v>Abrir facsímil</v>
      </c>
      <c r="K167" s="15" t="s">
        <v>22</v>
      </c>
    </row>
    <row r="168" spans="1:11" ht="42" customHeight="1">
      <c r="A168" s="4" t="s">
        <v>496</v>
      </c>
      <c r="B168" s="5" t="s">
        <v>496</v>
      </c>
      <c r="C168" s="5" t="s">
        <v>49</v>
      </c>
      <c r="D168" s="5" t="s">
        <v>50</v>
      </c>
      <c r="E168" s="5" t="s">
        <v>422</v>
      </c>
      <c r="F168" s="9">
        <v>33</v>
      </c>
      <c r="G168" s="9">
        <v>385</v>
      </c>
      <c r="H168" s="5" t="s">
        <v>20</v>
      </c>
      <c r="I168" s="5" t="s">
        <v>500</v>
      </c>
      <c r="J168" s="12" t="str">
        <f>HYPERLINK("https://www.boe.es/gazeta/dias/1807/04/14/pdfs/GMD-1807-33.pdf#page=1","Abrir facsímil")</f>
        <v>Abrir facsímil</v>
      </c>
      <c r="K168" s="15" t="s">
        <v>22</v>
      </c>
    </row>
    <row r="169" spans="1:11" ht="42" customHeight="1">
      <c r="A169" s="4" t="s">
        <v>496</v>
      </c>
      <c r="B169" s="5" t="s">
        <v>496</v>
      </c>
      <c r="C169" s="5" t="s">
        <v>49</v>
      </c>
      <c r="D169" s="5" t="s">
        <v>50</v>
      </c>
      <c r="E169" s="5" t="s">
        <v>98</v>
      </c>
      <c r="F169" s="9">
        <v>34</v>
      </c>
      <c r="G169" s="9">
        <v>397</v>
      </c>
      <c r="H169" s="5" t="s">
        <v>20</v>
      </c>
      <c r="I169" s="5" t="s">
        <v>501</v>
      </c>
      <c r="J169" s="12" t="str">
        <f>HYPERLINK("https://www.boe.es/gazeta/dias/1807/04/17/pdfs/GMD-1807-34.pdf#page=1","Abrir facsímil")</f>
        <v>Abrir facsímil</v>
      </c>
      <c r="K169" s="15" t="s">
        <v>22</v>
      </c>
    </row>
    <row r="170" spans="1:11" ht="42" customHeight="1">
      <c r="A170" s="4" t="s">
        <v>496</v>
      </c>
      <c r="B170" s="5" t="s">
        <v>496</v>
      </c>
      <c r="C170" s="5" t="s">
        <v>49</v>
      </c>
      <c r="D170" s="5" t="s">
        <v>50</v>
      </c>
      <c r="E170" s="5" t="s">
        <v>71</v>
      </c>
      <c r="F170" s="9">
        <v>35</v>
      </c>
      <c r="G170" s="9">
        <v>410</v>
      </c>
      <c r="H170" s="5" t="s">
        <v>20</v>
      </c>
      <c r="I170" s="5" t="s">
        <v>502</v>
      </c>
      <c r="J170" s="12" t="str">
        <f>HYPERLINK("https://www.boe.es/gazeta/dias/1807/04/21/pdfs/GMD-1807-35.pdf#page=2","Abrir facsímil")</f>
        <v>Abrir facsímil</v>
      </c>
      <c r="K170" s="15" t="s">
        <v>22</v>
      </c>
    </row>
    <row r="171" spans="1:11" ht="42" customHeight="1">
      <c r="A171" s="4" t="s">
        <v>496</v>
      </c>
      <c r="B171" s="5" t="s">
        <v>496</v>
      </c>
      <c r="C171" s="5" t="s">
        <v>49</v>
      </c>
      <c r="D171" s="5" t="s">
        <v>50</v>
      </c>
      <c r="E171" s="5" t="s">
        <v>149</v>
      </c>
      <c r="F171" s="9">
        <v>38</v>
      </c>
      <c r="G171" s="9">
        <v>449</v>
      </c>
      <c r="H171" s="5" t="s">
        <v>20</v>
      </c>
      <c r="I171" s="5" t="s">
        <v>503</v>
      </c>
      <c r="J171" s="12" t="str">
        <f>HYPERLINK("https://www.boe.es/gazeta/dias/1807/05/01/pdfs/GMD-1807-38.pdf#page=5","Abrir facsímil")</f>
        <v>Abrir facsímil</v>
      </c>
      <c r="K171" s="15" t="s">
        <v>22</v>
      </c>
    </row>
    <row r="172" spans="1:11" ht="42" customHeight="1">
      <c r="A172" s="4" t="s">
        <v>496</v>
      </c>
      <c r="B172" s="5" t="s">
        <v>496</v>
      </c>
      <c r="C172" s="5" t="s">
        <v>49</v>
      </c>
      <c r="D172" s="5" t="s">
        <v>50</v>
      </c>
      <c r="E172" s="5" t="s">
        <v>25</v>
      </c>
      <c r="F172" s="9">
        <v>45</v>
      </c>
      <c r="G172" s="9">
        <v>531</v>
      </c>
      <c r="H172" s="5" t="s">
        <v>20</v>
      </c>
      <c r="I172" s="5" t="s">
        <v>504</v>
      </c>
      <c r="J172" s="12" t="str">
        <f>HYPERLINK("https://www.boe.es/gazeta/dias/1807/05/26/pdfs/GMD-1807-45.pdf#page=1","Abrir facsímil")</f>
        <v>Abrir facsímil</v>
      </c>
      <c r="K172" s="15" t="s">
        <v>22</v>
      </c>
    </row>
    <row r="173" spans="1:11" ht="42" customHeight="1">
      <c r="A173" s="4" t="s">
        <v>496</v>
      </c>
      <c r="B173" s="5" t="s">
        <v>496</v>
      </c>
      <c r="C173" s="5" t="s">
        <v>49</v>
      </c>
      <c r="D173" s="5" t="s">
        <v>50</v>
      </c>
      <c r="E173" s="5" t="s">
        <v>505</v>
      </c>
      <c r="F173" s="9">
        <v>47</v>
      </c>
      <c r="G173" s="9">
        <v>557</v>
      </c>
      <c r="H173" s="5" t="s">
        <v>20</v>
      </c>
      <c r="I173" s="5" t="s">
        <v>506</v>
      </c>
      <c r="J173" s="12" t="str">
        <f>HYPERLINK("https://www.boe.es/gazeta/dias/1807/06/02/pdfs/GMD-1807-47.pdf#page=3","Abrir facsímil")</f>
        <v>Abrir facsímil</v>
      </c>
      <c r="K173" s="15" t="s">
        <v>22</v>
      </c>
    </row>
    <row r="174" spans="1:11" ht="42" customHeight="1">
      <c r="A174" s="4" t="s">
        <v>496</v>
      </c>
      <c r="B174" s="5" t="s">
        <v>496</v>
      </c>
      <c r="C174" s="5" t="s">
        <v>34</v>
      </c>
      <c r="D174" s="5" t="s">
        <v>35</v>
      </c>
      <c r="E174" s="5" t="s">
        <v>507</v>
      </c>
      <c r="F174" s="9">
        <v>48</v>
      </c>
      <c r="G174" s="9">
        <v>564</v>
      </c>
      <c r="H174" s="5" t="s">
        <v>20</v>
      </c>
      <c r="I174" s="5" t="s">
        <v>508</v>
      </c>
      <c r="J174" s="12" t="str">
        <f>HYPERLINK("https://www.boe.es/gazeta/dias/1807/06/05/pdfs/GMD-1807-48.pdf#page=2","Abrir facsímil")</f>
        <v>Abrir facsímil</v>
      </c>
      <c r="K174" s="15" t="s">
        <v>22</v>
      </c>
    </row>
    <row r="175" spans="1:11" ht="42" customHeight="1">
      <c r="A175" s="4" t="s">
        <v>496</v>
      </c>
      <c r="B175" s="5" t="s">
        <v>496</v>
      </c>
      <c r="C175" s="5" t="s">
        <v>49</v>
      </c>
      <c r="D175" s="5" t="s">
        <v>50</v>
      </c>
      <c r="E175" s="5" t="s">
        <v>507</v>
      </c>
      <c r="F175" s="9">
        <v>48</v>
      </c>
      <c r="G175" s="9">
        <v>565</v>
      </c>
      <c r="H175" s="5" t="s">
        <v>20</v>
      </c>
      <c r="I175" s="5" t="s">
        <v>509</v>
      </c>
      <c r="J175" s="12" t="str">
        <f>HYPERLINK("https://www.boe.es/gazeta/dias/1807/06/05/pdfs/GMD-1807-48.pdf#page=3","Abrir facsímil")</f>
        <v>Abrir facsímil</v>
      </c>
      <c r="K175" s="15" t="s">
        <v>22</v>
      </c>
    </row>
    <row r="176" spans="1:11" ht="42" customHeight="1">
      <c r="A176" s="4" t="s">
        <v>496</v>
      </c>
      <c r="B176" s="5" t="s">
        <v>496</v>
      </c>
      <c r="C176" s="5" t="s">
        <v>49</v>
      </c>
      <c r="D176" s="5" t="s">
        <v>50</v>
      </c>
      <c r="E176" s="5" t="s">
        <v>319</v>
      </c>
      <c r="F176" s="9">
        <v>54</v>
      </c>
      <c r="G176" s="9">
        <v>641</v>
      </c>
      <c r="H176" s="5" t="s">
        <v>20</v>
      </c>
      <c r="I176" s="5" t="s">
        <v>510</v>
      </c>
      <c r="J176" s="12" t="str">
        <f>HYPERLINK("https://www.boe.es/gazeta/dias/1807/06/26/pdfs/GMD-1807-54.pdf#page=3","Abrir facsímil")</f>
        <v>Abrir facsímil</v>
      </c>
      <c r="K176" s="15" t="s">
        <v>22</v>
      </c>
    </row>
    <row r="177" spans="1:11" ht="42" customHeight="1">
      <c r="A177" s="4" t="s">
        <v>496</v>
      </c>
      <c r="B177" s="5" t="s">
        <v>496</v>
      </c>
      <c r="C177" s="5" t="s">
        <v>89</v>
      </c>
      <c r="D177" s="5" t="s">
        <v>90</v>
      </c>
      <c r="E177" s="5" t="s">
        <v>186</v>
      </c>
      <c r="F177" s="9">
        <v>72</v>
      </c>
      <c r="G177" s="9">
        <v>824</v>
      </c>
      <c r="H177" s="5" t="s">
        <v>20</v>
      </c>
      <c r="I177" s="5" t="s">
        <v>511</v>
      </c>
      <c r="J177" s="12" t="str">
        <f>HYPERLINK("https://www.boe.es/gazeta/dias/1807/08/11/pdfs/GMD-1807-72.pdf#page=4","Abrir facsímil")</f>
        <v>Abrir facsímil</v>
      </c>
      <c r="K177" s="15" t="s">
        <v>22</v>
      </c>
    </row>
    <row r="178" spans="1:11" ht="42" customHeight="1">
      <c r="A178" s="4" t="s">
        <v>512</v>
      </c>
      <c r="B178" s="5" t="s">
        <v>513</v>
      </c>
      <c r="C178" s="5" t="s">
        <v>17</v>
      </c>
      <c r="D178" s="5" t="s">
        <v>18</v>
      </c>
      <c r="E178" s="5" t="s">
        <v>305</v>
      </c>
      <c r="F178" s="9">
        <v>53</v>
      </c>
      <c r="G178" s="9">
        <v>637</v>
      </c>
      <c r="H178" s="5" t="s">
        <v>20</v>
      </c>
      <c r="I178" s="5" t="s">
        <v>514</v>
      </c>
      <c r="J178" s="12" t="str">
        <f>HYPERLINK("https://www.boe.es/gazeta/dias/1807/06/23/pdfs/GMD-1807-53.pdf#page=11","Abrir facsímil")</f>
        <v>Abrir facsímil</v>
      </c>
      <c r="K178" s="15" t="s">
        <v>22</v>
      </c>
    </row>
    <row r="179" spans="1:11" ht="42" customHeight="1">
      <c r="A179" s="4" t="s">
        <v>515</v>
      </c>
      <c r="B179" s="5" t="s">
        <v>516</v>
      </c>
      <c r="C179" s="5" t="s">
        <v>252</v>
      </c>
      <c r="D179" s="5" t="s">
        <v>253</v>
      </c>
      <c r="E179" s="5" t="s">
        <v>215</v>
      </c>
      <c r="F179" s="9" t="s">
        <v>517</v>
      </c>
      <c r="G179" s="9">
        <v>62</v>
      </c>
      <c r="H179" s="5" t="s">
        <v>20</v>
      </c>
      <c r="I179" s="5" t="s">
        <v>518</v>
      </c>
      <c r="J179" s="12" t="str">
        <f>HYPERLINK("https://www.boe.es/gazeta/dias/1807/01/16/pdfs/GMD-1807-6E.pdf#page=2","Abrir facsímil")</f>
        <v>Abrir facsímil</v>
      </c>
      <c r="K179" s="15" t="s">
        <v>22</v>
      </c>
    </row>
    <row r="180" spans="1:11" ht="42" customHeight="1">
      <c r="A180" s="4" t="s">
        <v>519</v>
      </c>
      <c r="B180" s="5" t="s">
        <v>520</v>
      </c>
      <c r="C180" s="5" t="s">
        <v>28</v>
      </c>
      <c r="D180" s="5" t="s">
        <v>29</v>
      </c>
      <c r="E180" s="5" t="s">
        <v>346</v>
      </c>
      <c r="F180" s="9">
        <v>21</v>
      </c>
      <c r="G180" s="9">
        <v>246</v>
      </c>
      <c r="H180" s="5" t="s">
        <v>20</v>
      </c>
      <c r="I180" s="5" t="s">
        <v>521</v>
      </c>
      <c r="J180" s="12" t="str">
        <f>HYPERLINK("https://www.boe.es/gazeta/dias/1807/03/03/pdfs/GMD-1807-21.pdf#page=10","Abrir facsímil")</f>
        <v>Abrir facsímil</v>
      </c>
      <c r="K180" s="15" t="s">
        <v>22</v>
      </c>
    </row>
    <row r="181" spans="1:11" ht="42" customHeight="1">
      <c r="A181" s="4" t="s">
        <v>522</v>
      </c>
      <c r="B181" s="5" t="s">
        <v>523</v>
      </c>
      <c r="C181" s="5" t="s">
        <v>34</v>
      </c>
      <c r="D181" s="5" t="s">
        <v>35</v>
      </c>
      <c r="E181" s="5" t="s">
        <v>524</v>
      </c>
      <c r="F181" s="9" t="s">
        <v>525</v>
      </c>
      <c r="G181" s="9">
        <v>229</v>
      </c>
      <c r="H181" s="5" t="s">
        <v>20</v>
      </c>
      <c r="I181" s="5" t="s">
        <v>526</v>
      </c>
      <c r="J181" s="12" t="str">
        <f>HYPERLINK("https://www.boe.es/gazeta/dias/1807/03/01/pdfs/GMD-1807-20E.pdf#page=1","Abrir facsímil")</f>
        <v>Abrir facsímil</v>
      </c>
      <c r="K181" s="15" t="s">
        <v>22</v>
      </c>
    </row>
    <row r="182" spans="1:11" ht="42" customHeight="1">
      <c r="A182" s="4" t="s">
        <v>527</v>
      </c>
      <c r="B182" s="5" t="s">
        <v>528</v>
      </c>
      <c r="C182" s="5" t="s">
        <v>89</v>
      </c>
      <c r="D182" s="5" t="s">
        <v>90</v>
      </c>
      <c r="E182" s="5" t="s">
        <v>524</v>
      </c>
      <c r="F182" s="9" t="s">
        <v>525</v>
      </c>
      <c r="G182" s="9">
        <v>236</v>
      </c>
      <c r="H182" s="5" t="s">
        <v>20</v>
      </c>
      <c r="I182" s="5" t="s">
        <v>529</v>
      </c>
      <c r="J182" s="12" t="str">
        <f>HYPERLINK("https://www.boe.es/gazeta/dias/1807/03/01/pdfs/GMD-1807-20E.pdf#page=8","Abrir facsímil")</f>
        <v>Abrir facsímil</v>
      </c>
      <c r="K182" s="15" t="s">
        <v>22</v>
      </c>
    </row>
    <row r="183" spans="1:11" ht="42" customHeight="1">
      <c r="A183" s="4" t="s">
        <v>527</v>
      </c>
      <c r="B183" s="5" t="s">
        <v>528</v>
      </c>
      <c r="C183" s="5" t="s">
        <v>28</v>
      </c>
      <c r="D183" s="5" t="s">
        <v>29</v>
      </c>
      <c r="E183" s="5" t="s">
        <v>530</v>
      </c>
      <c r="F183" s="9">
        <v>79</v>
      </c>
      <c r="G183" s="9">
        <v>917</v>
      </c>
      <c r="H183" s="5" t="s">
        <v>20</v>
      </c>
      <c r="I183" s="5" t="s">
        <v>531</v>
      </c>
      <c r="J183" s="12" t="str">
        <f>HYPERLINK("https://www.boe.es/gazeta/dias/1807/09/04/pdfs/GMD-1807-79.pdf#page=9","Abrir facsímil")</f>
        <v>Abrir facsímil</v>
      </c>
      <c r="K183" s="15" t="s">
        <v>22</v>
      </c>
    </row>
    <row r="184" spans="1:11" ht="42" customHeight="1">
      <c r="A184" s="4" t="s">
        <v>532</v>
      </c>
      <c r="B184" s="5" t="s">
        <v>533</v>
      </c>
      <c r="C184" s="5" t="s">
        <v>252</v>
      </c>
      <c r="D184" s="5" t="s">
        <v>253</v>
      </c>
      <c r="E184" s="5" t="s">
        <v>534</v>
      </c>
      <c r="F184" s="9" t="s">
        <v>535</v>
      </c>
      <c r="G184" s="9">
        <v>97</v>
      </c>
      <c r="H184" s="5" t="s">
        <v>20</v>
      </c>
      <c r="I184" s="5" t="s">
        <v>536</v>
      </c>
      <c r="J184" s="12" t="str">
        <f>HYPERLINK("https://www.boe.es/gazeta/dias/1807/01/24/pdfs/GMD-1807-9E.pdf#page=1","Abrir facsímil")</f>
        <v>Abrir facsímil</v>
      </c>
      <c r="K184" s="15" t="s">
        <v>22</v>
      </c>
    </row>
    <row r="185" spans="1:11" ht="42" customHeight="1">
      <c r="A185" s="4" t="s">
        <v>537</v>
      </c>
      <c r="B185" s="5" t="s">
        <v>538</v>
      </c>
      <c r="C185" s="5" t="s">
        <v>34</v>
      </c>
      <c r="D185" s="5" t="s">
        <v>35</v>
      </c>
      <c r="E185" s="5" t="s">
        <v>534</v>
      </c>
      <c r="F185" s="9" t="s">
        <v>535</v>
      </c>
      <c r="G185" s="9">
        <v>97</v>
      </c>
      <c r="H185" s="5" t="s">
        <v>20</v>
      </c>
      <c r="I185" s="5" t="s">
        <v>539</v>
      </c>
      <c r="J185" s="12" t="str">
        <f>HYPERLINK("https://www.boe.es/gazeta/dias/1807/01/24/pdfs/GMD-1807-9E.pdf#page=1","Abrir facsímil")</f>
        <v>Abrir facsímil</v>
      </c>
      <c r="K185" s="15" t="s">
        <v>22</v>
      </c>
    </row>
    <row r="186" spans="1:11" ht="42" customHeight="1">
      <c r="A186" s="4" t="s">
        <v>540</v>
      </c>
      <c r="B186" s="5" t="s">
        <v>541</v>
      </c>
      <c r="C186" s="5" t="s">
        <v>34</v>
      </c>
      <c r="D186" s="5" t="s">
        <v>35</v>
      </c>
      <c r="E186" s="5" t="s">
        <v>94</v>
      </c>
      <c r="F186" s="9">
        <v>22</v>
      </c>
      <c r="G186" s="9">
        <v>254</v>
      </c>
      <c r="H186" s="5" t="s">
        <v>20</v>
      </c>
      <c r="I186" s="5" t="s">
        <v>542</v>
      </c>
      <c r="J186" s="12" t="str">
        <f>HYPERLINK("https://www.boe.es/gazeta/dias/1807/03/06/pdfs/GMD-1807-22.pdf#page=6","Abrir facsímil")</f>
        <v>Abrir facsímil</v>
      </c>
      <c r="K186" s="15" t="s">
        <v>22</v>
      </c>
    </row>
    <row r="187" spans="1:11" ht="42" customHeight="1">
      <c r="A187" s="4" t="s">
        <v>543</v>
      </c>
      <c r="B187" s="5" t="s">
        <v>544</v>
      </c>
      <c r="C187" s="5" t="s">
        <v>28</v>
      </c>
      <c r="D187" s="5" t="s">
        <v>29</v>
      </c>
      <c r="E187" s="5" t="s">
        <v>101</v>
      </c>
      <c r="F187" s="9">
        <v>23</v>
      </c>
      <c r="G187" s="9">
        <v>271</v>
      </c>
      <c r="H187" s="5" t="s">
        <v>20</v>
      </c>
      <c r="I187" s="5" t="s">
        <v>545</v>
      </c>
      <c r="J187" s="12" t="str">
        <f>HYPERLINK("https://www.boe.es/gazeta/dias/1807/03/10/pdfs/GMD-1807-23.pdf#page=11","Abrir facsímil")</f>
        <v>Abrir facsímil</v>
      </c>
      <c r="K187" s="15" t="s">
        <v>22</v>
      </c>
    </row>
    <row r="188" spans="1:11" ht="42" customHeight="1">
      <c r="A188" s="4" t="s">
        <v>546</v>
      </c>
      <c r="B188" s="5" t="s">
        <v>547</v>
      </c>
      <c r="C188" s="5" t="s">
        <v>34</v>
      </c>
      <c r="D188" s="5" t="s">
        <v>35</v>
      </c>
      <c r="E188" s="5" t="s">
        <v>40</v>
      </c>
      <c r="F188" s="9">
        <v>26</v>
      </c>
      <c r="G188" s="9">
        <v>313</v>
      </c>
      <c r="H188" s="5" t="s">
        <v>20</v>
      </c>
      <c r="I188" s="5" t="s">
        <v>548</v>
      </c>
      <c r="J188" s="12" t="str">
        <f>HYPERLINK("https://www.boe.es/gazeta/dias/1807/03/20/pdfs/GMD-1807-26.pdf#page=9","Abrir facsímil")</f>
        <v>Abrir facsímil</v>
      </c>
      <c r="K188" s="15" t="s">
        <v>22</v>
      </c>
    </row>
    <row r="189" spans="1:11" ht="42" customHeight="1">
      <c r="A189" s="4" t="s">
        <v>549</v>
      </c>
      <c r="B189" s="5" t="s">
        <v>550</v>
      </c>
      <c r="C189" s="5" t="s">
        <v>34</v>
      </c>
      <c r="D189" s="5" t="s">
        <v>35</v>
      </c>
      <c r="E189" s="5" t="s">
        <v>65</v>
      </c>
      <c r="F189" s="9">
        <v>52</v>
      </c>
      <c r="G189" s="9">
        <v>622</v>
      </c>
      <c r="H189" s="5" t="s">
        <v>20</v>
      </c>
      <c r="I189" s="5" t="s">
        <v>551</v>
      </c>
      <c r="J189" s="12" t="str">
        <f>HYPERLINK("https://www.boe.es/gazeta/dias/1807/06/19/pdfs/GMD-1807-52.pdf#page=12","Abrir facsímil")</f>
        <v>Abrir facsímil</v>
      </c>
      <c r="K189" s="15" t="s">
        <v>22</v>
      </c>
    </row>
    <row r="190" spans="1:11" ht="42" customHeight="1">
      <c r="A190" s="4" t="s">
        <v>549</v>
      </c>
      <c r="B190" s="5" t="s">
        <v>550</v>
      </c>
      <c r="C190" s="5" t="s">
        <v>34</v>
      </c>
      <c r="D190" s="5" t="s">
        <v>35</v>
      </c>
      <c r="E190" s="5" t="s">
        <v>62</v>
      </c>
      <c r="F190" s="9">
        <v>68</v>
      </c>
      <c r="G190" s="9">
        <v>784</v>
      </c>
      <c r="H190" s="5" t="s">
        <v>20</v>
      </c>
      <c r="I190" s="5" t="s">
        <v>552</v>
      </c>
      <c r="J190" s="12" t="str">
        <f>HYPERLINK("https://www.boe.es/gazeta/dias/1807/07/31/pdfs/GMD-1807-68.pdf#page=8","Abrir facsímil")</f>
        <v>Abrir facsímil</v>
      </c>
      <c r="K190" s="15" t="s">
        <v>22</v>
      </c>
    </row>
    <row r="191" spans="1:11" ht="42" customHeight="1">
      <c r="A191" s="4" t="s">
        <v>553</v>
      </c>
      <c r="B191" s="5" t="s">
        <v>554</v>
      </c>
      <c r="C191" s="5" t="s">
        <v>34</v>
      </c>
      <c r="D191" s="5" t="s">
        <v>35</v>
      </c>
      <c r="E191" s="5" t="s">
        <v>464</v>
      </c>
      <c r="F191" s="9">
        <v>18</v>
      </c>
      <c r="G191" s="9">
        <v>212</v>
      </c>
      <c r="H191" s="5" t="s">
        <v>20</v>
      </c>
      <c r="I191" s="5" t="s">
        <v>555</v>
      </c>
      <c r="J191" s="12" t="str">
        <f>HYPERLINK("https://www.boe.es/gazeta/dias/1807/02/24/pdfs/GMD-1807-18.pdf#page=12","Abrir facsímil")</f>
        <v>Abrir facsímil</v>
      </c>
      <c r="K191" s="15" t="s">
        <v>22</v>
      </c>
    </row>
    <row r="192" spans="1:11" ht="42" customHeight="1">
      <c r="A192" s="4" t="s">
        <v>556</v>
      </c>
      <c r="B192" s="5" t="s">
        <v>557</v>
      </c>
      <c r="C192" s="5" t="s">
        <v>28</v>
      </c>
      <c r="D192" s="5" t="s">
        <v>29</v>
      </c>
      <c r="E192" s="5" t="s">
        <v>91</v>
      </c>
      <c r="F192" s="9">
        <v>109</v>
      </c>
      <c r="G192" s="9">
        <v>1273</v>
      </c>
      <c r="H192" s="5" t="s">
        <v>20</v>
      </c>
      <c r="I192" s="5" t="s">
        <v>558</v>
      </c>
      <c r="J192" s="12" t="str">
        <f>HYPERLINK("https://www.boe.es/gazeta/dias/1807/12/08/pdfs/GMD-1807-109.pdf#page=9","Abrir facsímil")</f>
        <v>Abrir facsímil</v>
      </c>
      <c r="K192" s="15" t="s">
        <v>22</v>
      </c>
    </row>
    <row r="193" spans="1:11" ht="42" customHeight="1">
      <c r="A193" s="4" t="s">
        <v>559</v>
      </c>
      <c r="B193" s="5" t="s">
        <v>560</v>
      </c>
      <c r="C193" s="5" t="s">
        <v>24</v>
      </c>
      <c r="D193" s="5" t="s">
        <v>18</v>
      </c>
      <c r="E193" s="5" t="s">
        <v>561</v>
      </c>
      <c r="F193" s="9">
        <v>44</v>
      </c>
      <c r="G193" s="9">
        <v>529</v>
      </c>
      <c r="H193" s="5" t="s">
        <v>20</v>
      </c>
      <c r="I193" s="5" t="s">
        <v>562</v>
      </c>
      <c r="J193" s="12" t="str">
        <f>HYPERLINK("https://www.boe.es/gazeta/dias/1807/05/22/pdfs/GMD-1807-44.pdf#page=11","Abrir facsímil")</f>
        <v>Abrir facsímil</v>
      </c>
      <c r="K193" s="15" t="s">
        <v>22</v>
      </c>
    </row>
    <row r="194" spans="1:11" ht="42" customHeight="1">
      <c r="A194" s="4" t="s">
        <v>559</v>
      </c>
      <c r="B194" s="5" t="s">
        <v>560</v>
      </c>
      <c r="C194" s="5" t="s">
        <v>24</v>
      </c>
      <c r="D194" s="5" t="s">
        <v>18</v>
      </c>
      <c r="E194" s="5" t="s">
        <v>461</v>
      </c>
      <c r="F194" s="9">
        <v>99</v>
      </c>
      <c r="G194" s="9">
        <v>1154</v>
      </c>
      <c r="H194" s="5" t="s">
        <v>20</v>
      </c>
      <c r="I194" s="5" t="s">
        <v>563</v>
      </c>
      <c r="J194" s="12" t="str">
        <f>HYPERLINK("https://www.boe.es/gazeta/dias/1807/11/06/pdfs/GMD-1807-99.pdf#page=10","Abrir facsímil")</f>
        <v>Abrir facsímil</v>
      </c>
      <c r="K194" s="15" t="s">
        <v>22</v>
      </c>
    </row>
    <row r="195" spans="1:11" ht="42" customHeight="1">
      <c r="A195" s="4" t="s">
        <v>564</v>
      </c>
      <c r="B195" s="5" t="s">
        <v>564</v>
      </c>
      <c r="C195" s="5" t="s">
        <v>24</v>
      </c>
      <c r="D195" s="5" t="s">
        <v>18</v>
      </c>
      <c r="E195" s="5" t="s">
        <v>53</v>
      </c>
      <c r="F195" s="9">
        <v>64</v>
      </c>
      <c r="G195" s="9">
        <v>749</v>
      </c>
      <c r="H195" s="5" t="s">
        <v>20</v>
      </c>
      <c r="I195" s="5" t="s">
        <v>565</v>
      </c>
      <c r="J195" s="12" t="str">
        <f>HYPERLINK("https://www.boe.es/gazeta/dias/1807/07/21/pdfs/GMD-1807-64.pdf#page=11","Abrir facsímil")</f>
        <v>Abrir facsímil</v>
      </c>
      <c r="K195" s="15" t="s">
        <v>22</v>
      </c>
    </row>
    <row r="196" spans="1:11" ht="42" customHeight="1">
      <c r="A196" s="4" t="s">
        <v>566</v>
      </c>
      <c r="B196" s="5" t="s">
        <v>566</v>
      </c>
      <c r="C196" s="5" t="s">
        <v>28</v>
      </c>
      <c r="D196" s="5" t="s">
        <v>29</v>
      </c>
      <c r="E196" s="5" t="s">
        <v>567</v>
      </c>
      <c r="F196" s="9">
        <v>55</v>
      </c>
      <c r="G196" s="9">
        <v>658</v>
      </c>
      <c r="H196" s="5" t="s">
        <v>20</v>
      </c>
      <c r="I196" s="5" t="s">
        <v>568</v>
      </c>
      <c r="J196" s="12" t="str">
        <f>HYPERLINK("https://www.boe.es/gazeta/dias/1807/06/30/pdfs/GMD-1807-55.pdf#page=8","Abrir facsímil")</f>
        <v>Abrir facsímil</v>
      </c>
      <c r="K196" s="15" t="s">
        <v>22</v>
      </c>
    </row>
    <row r="197" spans="1:11" ht="42" customHeight="1">
      <c r="A197" s="4" t="s">
        <v>569</v>
      </c>
      <c r="B197" s="5" t="s">
        <v>569</v>
      </c>
      <c r="C197" s="5" t="s">
        <v>24</v>
      </c>
      <c r="D197" s="5" t="s">
        <v>18</v>
      </c>
      <c r="E197" s="5" t="s">
        <v>219</v>
      </c>
      <c r="F197" s="9">
        <v>56</v>
      </c>
      <c r="G197" s="9">
        <v>672</v>
      </c>
      <c r="H197" s="5" t="s">
        <v>20</v>
      </c>
      <c r="I197" s="5" t="s">
        <v>570</v>
      </c>
      <c r="J197" s="12" t="str">
        <f>HYPERLINK("https://www.boe.es/gazeta/dias/1807/07/03/pdfs/GMD-1807-56.pdf#page=10","Abrir facsímil")</f>
        <v>Abrir facsímil</v>
      </c>
      <c r="K197" s="15" t="s">
        <v>22</v>
      </c>
    </row>
    <row r="198" spans="1:11" ht="42" customHeight="1">
      <c r="A198" s="4" t="s">
        <v>571</v>
      </c>
      <c r="B198" s="5" t="s">
        <v>571</v>
      </c>
      <c r="C198" s="5" t="s">
        <v>34</v>
      </c>
      <c r="D198" s="5" t="s">
        <v>35</v>
      </c>
      <c r="E198" s="5" t="s">
        <v>572</v>
      </c>
      <c r="F198" s="9">
        <v>14</v>
      </c>
      <c r="G198" s="9">
        <v>163</v>
      </c>
      <c r="H198" s="5" t="s">
        <v>20</v>
      </c>
      <c r="I198" s="5" t="s">
        <v>573</v>
      </c>
      <c r="J198" s="12" t="str">
        <f>HYPERLINK("https://www.boe.es/gazeta/dias/1807/02/10/pdfs/GMD-1807-14.pdf#page=11","Abrir facsímil")</f>
        <v>Abrir facsímil</v>
      </c>
      <c r="K198" s="15" t="s">
        <v>22</v>
      </c>
    </row>
    <row r="199" spans="1:11" ht="42" customHeight="1">
      <c r="A199" s="4" t="s">
        <v>571</v>
      </c>
      <c r="B199" s="5" t="s">
        <v>571</v>
      </c>
      <c r="C199" s="5" t="s">
        <v>24</v>
      </c>
      <c r="D199" s="5" t="s">
        <v>18</v>
      </c>
      <c r="E199" s="5" t="s">
        <v>98</v>
      </c>
      <c r="F199" s="9">
        <v>34</v>
      </c>
      <c r="G199" s="9">
        <v>406</v>
      </c>
      <c r="H199" s="5" t="s">
        <v>20</v>
      </c>
      <c r="I199" s="5" t="s">
        <v>574</v>
      </c>
      <c r="J199" s="12" t="str">
        <f>HYPERLINK("https://www.boe.es/gazeta/dias/1807/04/17/pdfs/GMD-1807-34.pdf#page=10","Abrir facsímil")</f>
        <v>Abrir facsímil</v>
      </c>
      <c r="K199" s="15" t="s">
        <v>22</v>
      </c>
    </row>
    <row r="200" spans="1:11" ht="42" customHeight="1">
      <c r="A200" s="4" t="s">
        <v>571</v>
      </c>
      <c r="B200" s="5" t="s">
        <v>571</v>
      </c>
      <c r="C200" s="5" t="s">
        <v>24</v>
      </c>
      <c r="D200" s="5" t="s">
        <v>18</v>
      </c>
      <c r="E200" s="5" t="s">
        <v>575</v>
      </c>
      <c r="F200" s="9">
        <v>115</v>
      </c>
      <c r="G200" s="9">
        <v>1340</v>
      </c>
      <c r="H200" s="5" t="s">
        <v>20</v>
      </c>
      <c r="I200" s="5" t="s">
        <v>576</v>
      </c>
      <c r="J200" s="12" t="str">
        <f>HYPERLINK("https://www.boe.es/gazeta/dias/1807/12/29/pdfs/GMD-1807-115.pdf#page=8","Abrir facsímil")</f>
        <v>Abrir facsímil</v>
      </c>
      <c r="K200" s="15" t="s">
        <v>22</v>
      </c>
    </row>
    <row r="201" spans="1:11" ht="42" customHeight="1">
      <c r="A201" s="4" t="s">
        <v>577</v>
      </c>
      <c r="B201" s="5" t="s">
        <v>578</v>
      </c>
      <c r="C201" s="5" t="s">
        <v>24</v>
      </c>
      <c r="D201" s="5" t="s">
        <v>18</v>
      </c>
      <c r="E201" s="5" t="s">
        <v>319</v>
      </c>
      <c r="F201" s="9">
        <v>54</v>
      </c>
      <c r="G201" s="9">
        <v>648</v>
      </c>
      <c r="H201" s="5" t="s">
        <v>20</v>
      </c>
      <c r="I201" s="5" t="s">
        <v>579</v>
      </c>
      <c r="J201" s="12" t="str">
        <f>HYPERLINK("https://www.boe.es/gazeta/dias/1807/06/26/pdfs/GMD-1807-54.pdf#page=10","Abrir facsímil")</f>
        <v>Abrir facsímil</v>
      </c>
      <c r="K201" s="15" t="s">
        <v>22</v>
      </c>
    </row>
    <row r="202" spans="1:11" ht="42" customHeight="1">
      <c r="A202" s="4" t="s">
        <v>577</v>
      </c>
      <c r="B202" s="5" t="s">
        <v>578</v>
      </c>
      <c r="C202" s="5" t="s">
        <v>24</v>
      </c>
      <c r="D202" s="5" t="s">
        <v>18</v>
      </c>
      <c r="E202" s="5" t="s">
        <v>62</v>
      </c>
      <c r="F202" s="9">
        <v>68</v>
      </c>
      <c r="G202" s="9">
        <v>786</v>
      </c>
      <c r="H202" s="5" t="s">
        <v>20</v>
      </c>
      <c r="I202" s="5" t="s">
        <v>580</v>
      </c>
      <c r="J202" s="12" t="str">
        <f>HYPERLINK("https://www.boe.es/gazeta/dias/1807/07/31/pdfs/GMD-1807-68.pdf#page=10","Abrir facsímil")</f>
        <v>Abrir facsímil</v>
      </c>
      <c r="K202" s="15" t="s">
        <v>22</v>
      </c>
    </row>
    <row r="203" spans="1:11" ht="42" customHeight="1">
      <c r="A203" s="4" t="s">
        <v>577</v>
      </c>
      <c r="B203" s="5" t="s">
        <v>578</v>
      </c>
      <c r="C203" s="5" t="s">
        <v>24</v>
      </c>
      <c r="D203" s="5" t="s">
        <v>18</v>
      </c>
      <c r="E203" s="5" t="s">
        <v>581</v>
      </c>
      <c r="F203" s="9">
        <v>71</v>
      </c>
      <c r="G203" s="9">
        <v>817</v>
      </c>
      <c r="H203" s="5" t="s">
        <v>20</v>
      </c>
      <c r="I203" s="5" t="s">
        <v>582</v>
      </c>
      <c r="J203" s="12" t="str">
        <f>HYPERLINK("https://www.boe.es/gazeta/dias/1807/08/07/pdfs/GMD-1807-71.pdf#page=9","Abrir facsímil")</f>
        <v>Abrir facsímil</v>
      </c>
      <c r="K203" s="15" t="s">
        <v>22</v>
      </c>
    </row>
    <row r="204" spans="1:11" ht="42" customHeight="1">
      <c r="A204" s="4" t="s">
        <v>577</v>
      </c>
      <c r="B204" s="5" t="s">
        <v>578</v>
      </c>
      <c r="C204" s="5" t="s">
        <v>34</v>
      </c>
      <c r="D204" s="5" t="s">
        <v>35</v>
      </c>
      <c r="E204" s="5" t="s">
        <v>127</v>
      </c>
      <c r="F204" s="9">
        <v>81</v>
      </c>
      <c r="G204" s="9">
        <v>947</v>
      </c>
      <c r="H204" s="5" t="s">
        <v>20</v>
      </c>
      <c r="I204" s="5" t="s">
        <v>583</v>
      </c>
      <c r="J204" s="12" t="str">
        <f>HYPERLINK("https://www.boe.es/gazeta/dias/1807/09/11/pdfs/GMD-1807-81.pdf#page=11","Abrir facsímil")</f>
        <v>Abrir facsímil</v>
      </c>
      <c r="K204" s="15" t="s">
        <v>22</v>
      </c>
    </row>
    <row r="205" spans="1:11" ht="42" customHeight="1">
      <c r="A205" s="4" t="s">
        <v>584</v>
      </c>
      <c r="B205" s="5" t="s">
        <v>585</v>
      </c>
      <c r="C205" s="5" t="s">
        <v>28</v>
      </c>
      <c r="D205" s="5" t="s">
        <v>29</v>
      </c>
      <c r="E205" s="5" t="s">
        <v>139</v>
      </c>
      <c r="F205" s="9">
        <v>110</v>
      </c>
      <c r="G205" s="9">
        <v>1285</v>
      </c>
      <c r="H205" s="5" t="s">
        <v>20</v>
      </c>
      <c r="I205" s="5" t="s">
        <v>586</v>
      </c>
      <c r="J205" s="12" t="str">
        <f>HYPERLINK("https://www.boe.es/gazeta/dias/1807/12/11/pdfs/GMD-1807-110.pdf#page=9","Abrir facsímil")</f>
        <v>Abrir facsímil</v>
      </c>
      <c r="K205" s="15" t="s">
        <v>22</v>
      </c>
    </row>
    <row r="206" spans="1:11" ht="42" customHeight="1">
      <c r="A206" s="4" t="s">
        <v>587</v>
      </c>
      <c r="B206" s="5" t="s">
        <v>587</v>
      </c>
      <c r="C206" s="5" t="s">
        <v>28</v>
      </c>
      <c r="D206" s="5" t="s">
        <v>29</v>
      </c>
      <c r="E206" s="5" t="s">
        <v>414</v>
      </c>
      <c r="F206" s="9">
        <v>40</v>
      </c>
      <c r="G206" s="9">
        <v>475</v>
      </c>
      <c r="H206" s="5" t="s">
        <v>20</v>
      </c>
      <c r="I206" s="5" t="s">
        <v>588</v>
      </c>
      <c r="J206" s="12" t="str">
        <f>HYPERLINK("https://www.boe.es/gazeta/dias/1807/05/08/pdfs/GMD-1807-40.pdf#page=5","Abrir facsímil")</f>
        <v>Abrir facsímil</v>
      </c>
      <c r="K206" s="15" t="s">
        <v>22</v>
      </c>
    </row>
    <row r="207" spans="1:11" ht="42" customHeight="1">
      <c r="A207" s="4" t="s">
        <v>587</v>
      </c>
      <c r="B207" s="5" t="s">
        <v>587</v>
      </c>
      <c r="C207" s="5" t="s">
        <v>28</v>
      </c>
      <c r="D207" s="5" t="s">
        <v>29</v>
      </c>
      <c r="E207" s="5" t="s">
        <v>350</v>
      </c>
      <c r="F207" s="9">
        <v>112</v>
      </c>
      <c r="G207" s="9">
        <v>1309</v>
      </c>
      <c r="H207" s="5" t="s">
        <v>20</v>
      </c>
      <c r="I207" s="5" t="s">
        <v>589</v>
      </c>
      <c r="J207" s="12" t="str">
        <f>HYPERLINK("https://www.boe.es/gazeta/dias/1807/12/18/pdfs/GMD-1807-112.pdf#page=9","Abrir facsímil")</f>
        <v>Abrir facsímil</v>
      </c>
      <c r="K207" s="15" t="s">
        <v>22</v>
      </c>
    </row>
    <row r="208" spans="1:11" ht="42" customHeight="1">
      <c r="A208" s="4" t="s">
        <v>590</v>
      </c>
      <c r="B208" s="5" t="s">
        <v>591</v>
      </c>
      <c r="C208" s="5" t="s">
        <v>28</v>
      </c>
      <c r="D208" s="5" t="s">
        <v>29</v>
      </c>
      <c r="E208" s="5" t="s">
        <v>190</v>
      </c>
      <c r="F208" s="9">
        <v>37</v>
      </c>
      <c r="G208" s="9">
        <v>440</v>
      </c>
      <c r="H208" s="5" t="s">
        <v>20</v>
      </c>
      <c r="I208" s="5" t="s">
        <v>592</v>
      </c>
      <c r="J208" s="12" t="str">
        <f>HYPERLINK("https://www.boe.es/gazeta/dias/1807/04/28/pdfs/GMD-1807-37.pdf#page=8","Abrir facsímil")</f>
        <v>Abrir facsímil</v>
      </c>
      <c r="K208" s="15" t="s">
        <v>22</v>
      </c>
    </row>
    <row r="209" spans="1:11" ht="42" customHeight="1">
      <c r="A209" s="4" t="s">
        <v>593</v>
      </c>
      <c r="B209" s="5" t="s">
        <v>594</v>
      </c>
      <c r="C209" s="5" t="s">
        <v>24</v>
      </c>
      <c r="D209" s="5" t="s">
        <v>18</v>
      </c>
      <c r="E209" s="5" t="s">
        <v>595</v>
      </c>
      <c r="F209" s="9">
        <v>59</v>
      </c>
      <c r="G209" s="9">
        <v>704</v>
      </c>
      <c r="H209" s="5" t="s">
        <v>20</v>
      </c>
      <c r="I209" s="5" t="s">
        <v>596</v>
      </c>
      <c r="J209" s="12" t="str">
        <f>HYPERLINK("https://www.boe.es/gazeta/dias/1807/07/10/pdfs/GMD-1807-59.pdf#page=10","Abrir facsímil")</f>
        <v>Abrir facsímil</v>
      </c>
      <c r="K209" s="15" t="s">
        <v>22</v>
      </c>
    </row>
    <row r="210" spans="1:11" ht="42" customHeight="1">
      <c r="A210" s="4" t="s">
        <v>597</v>
      </c>
      <c r="B210" s="5" t="s">
        <v>598</v>
      </c>
      <c r="C210" s="5" t="s">
        <v>28</v>
      </c>
      <c r="D210" s="5" t="s">
        <v>29</v>
      </c>
      <c r="E210" s="5" t="s">
        <v>101</v>
      </c>
      <c r="F210" s="9">
        <v>23</v>
      </c>
      <c r="G210" s="9">
        <v>271</v>
      </c>
      <c r="H210" s="5" t="s">
        <v>20</v>
      </c>
      <c r="I210" s="5" t="s">
        <v>599</v>
      </c>
      <c r="J210" s="12" t="str">
        <f>HYPERLINK("https://www.boe.es/gazeta/dias/1807/03/10/pdfs/GMD-1807-23.pdf#page=11","Abrir facsímil")</f>
        <v>Abrir facsímil</v>
      </c>
      <c r="K210" s="15" t="s">
        <v>22</v>
      </c>
    </row>
    <row r="211" spans="1:11" ht="42" customHeight="1">
      <c r="A211" s="4" t="s">
        <v>600</v>
      </c>
      <c r="B211" s="5" t="s">
        <v>601</v>
      </c>
      <c r="C211" s="5" t="s">
        <v>28</v>
      </c>
      <c r="D211" s="5" t="s">
        <v>29</v>
      </c>
      <c r="E211" s="5" t="s">
        <v>266</v>
      </c>
      <c r="F211" s="9">
        <v>67</v>
      </c>
      <c r="G211" s="9">
        <v>772</v>
      </c>
      <c r="H211" s="5" t="s">
        <v>20</v>
      </c>
      <c r="I211" s="5" t="s">
        <v>602</v>
      </c>
      <c r="J211" s="12" t="str">
        <f>HYPERLINK("https://www.boe.es/gazeta/dias/1807/07/28/pdfs/GMD-1807-67.pdf#page=8","Abrir facsímil")</f>
        <v>Abrir facsímil</v>
      </c>
      <c r="K211" s="15" t="s">
        <v>22</v>
      </c>
    </row>
    <row r="212" spans="1:11" ht="42" customHeight="1">
      <c r="A212" s="4" t="s">
        <v>603</v>
      </c>
      <c r="B212" s="5" t="s">
        <v>604</v>
      </c>
      <c r="C212" s="5" t="s">
        <v>34</v>
      </c>
      <c r="D212" s="5" t="s">
        <v>35</v>
      </c>
      <c r="E212" s="5" t="s">
        <v>224</v>
      </c>
      <c r="F212" s="9">
        <v>91</v>
      </c>
      <c r="G212" s="9">
        <v>1055</v>
      </c>
      <c r="H212" s="5" t="s">
        <v>20</v>
      </c>
      <c r="I212" s="5" t="s">
        <v>605</v>
      </c>
      <c r="J212" s="12" t="str">
        <f>HYPERLINK("https://www.boe.es/gazeta/dias/1807/10/09/pdfs/GMD-1807-91.pdf#page=7","Abrir facsímil")</f>
        <v>Abrir facsímil</v>
      </c>
      <c r="K212" s="15" t="s">
        <v>22</v>
      </c>
    </row>
    <row r="213" spans="1:11" ht="42" customHeight="1">
      <c r="A213" s="4" t="s">
        <v>606</v>
      </c>
      <c r="B213" s="5" t="s">
        <v>606</v>
      </c>
      <c r="C213" s="5" t="s">
        <v>49</v>
      </c>
      <c r="D213" s="5" t="s">
        <v>50</v>
      </c>
      <c r="E213" s="5" t="s">
        <v>109</v>
      </c>
      <c r="F213" s="9">
        <v>58</v>
      </c>
      <c r="G213" s="9">
        <v>687</v>
      </c>
      <c r="H213" s="5" t="s">
        <v>20</v>
      </c>
      <c r="I213" s="5" t="s">
        <v>607</v>
      </c>
      <c r="J213" s="12" t="str">
        <f>HYPERLINK("https://www.boe.es/gazeta/dias/1807/07/07/pdfs/GMD-1807-58.pdf#page=5","Abrir facsímil")</f>
        <v>Abrir facsímil</v>
      </c>
      <c r="K213" s="15" t="s">
        <v>22</v>
      </c>
    </row>
    <row r="214" spans="1:11" ht="42" customHeight="1">
      <c r="A214" s="4" t="s">
        <v>608</v>
      </c>
      <c r="B214" s="5" t="s">
        <v>609</v>
      </c>
      <c r="C214" s="5" t="s">
        <v>34</v>
      </c>
      <c r="D214" s="5" t="s">
        <v>35</v>
      </c>
      <c r="E214" s="5" t="s">
        <v>259</v>
      </c>
      <c r="F214" s="9">
        <v>3</v>
      </c>
      <c r="G214" s="9">
        <v>27</v>
      </c>
      <c r="H214" s="5" t="s">
        <v>20</v>
      </c>
      <c r="I214" s="5" t="s">
        <v>610</v>
      </c>
      <c r="J214" s="12" t="str">
        <f>HYPERLINK("https://www.boe.es/gazeta/dias/1807/01/09/pdfs/GMD-1807-3.pdf#page=7","Abrir facsímil")</f>
        <v>Abrir facsímil</v>
      </c>
      <c r="K214" s="15" t="s">
        <v>22</v>
      </c>
    </row>
    <row r="215" spans="1:11" ht="42" customHeight="1">
      <c r="A215" s="4" t="s">
        <v>611</v>
      </c>
      <c r="B215" s="5" t="s">
        <v>611</v>
      </c>
      <c r="C215" s="5" t="s">
        <v>34</v>
      </c>
      <c r="D215" s="5" t="s">
        <v>35</v>
      </c>
      <c r="E215" s="5" t="s">
        <v>441</v>
      </c>
      <c r="F215" s="9">
        <v>92</v>
      </c>
      <c r="G215" s="9">
        <v>1065</v>
      </c>
      <c r="H215" s="5" t="s">
        <v>20</v>
      </c>
      <c r="I215" s="5" t="s">
        <v>612</v>
      </c>
      <c r="J215" s="12" t="str">
        <f>HYPERLINK("https://www.boe.es/gazeta/dias/1807/10/13/pdfs/GMD-1807-92.pdf#page=5","Abrir facsímil")</f>
        <v>Abrir facsímil</v>
      </c>
      <c r="K215" s="15" t="s">
        <v>22</v>
      </c>
    </row>
    <row r="216" spans="1:11" ht="42" customHeight="1">
      <c r="A216" s="4" t="s">
        <v>613</v>
      </c>
      <c r="B216" s="5" t="s">
        <v>614</v>
      </c>
      <c r="C216" s="5" t="s">
        <v>252</v>
      </c>
      <c r="D216" s="5" t="s">
        <v>253</v>
      </c>
      <c r="E216" s="5" t="s">
        <v>615</v>
      </c>
      <c r="F216" s="9" t="s">
        <v>616</v>
      </c>
      <c r="G216" s="9">
        <v>1000</v>
      </c>
      <c r="H216" s="5" t="s">
        <v>20</v>
      </c>
      <c r="I216" s="5" t="s">
        <v>617</v>
      </c>
      <c r="J216" s="12" t="str">
        <f>HYPERLINK("https://www.boe.es/gazeta/dias/1807/09/27/pdfs/GMD-1807-86E.pdf#page=4","Abrir facsímil")</f>
        <v>Abrir facsímil</v>
      </c>
      <c r="K216" s="15" t="s">
        <v>22</v>
      </c>
    </row>
    <row r="217" spans="1:11" ht="42" customHeight="1">
      <c r="A217" s="4" t="s">
        <v>618</v>
      </c>
      <c r="B217" s="5" t="s">
        <v>619</v>
      </c>
      <c r="C217" s="5" t="s">
        <v>34</v>
      </c>
      <c r="D217" s="5" t="s">
        <v>35</v>
      </c>
      <c r="E217" s="5" t="s">
        <v>620</v>
      </c>
      <c r="F217" s="9">
        <v>84</v>
      </c>
      <c r="G217" s="9">
        <v>981</v>
      </c>
      <c r="H217" s="5" t="s">
        <v>20</v>
      </c>
      <c r="I217" s="5" t="s">
        <v>621</v>
      </c>
      <c r="J217" s="12" t="str">
        <f>HYPERLINK("https://www.boe.es/gazeta/dias/1807/09/22/pdfs/GMD-1807-84.pdf#page=9","Abrir facsímil")</f>
        <v>Abrir facsímil</v>
      </c>
      <c r="K217" s="15" t="s">
        <v>22</v>
      </c>
    </row>
    <row r="218" spans="1:11" ht="42" customHeight="1">
      <c r="A218" s="4" t="s">
        <v>622</v>
      </c>
      <c r="B218" s="5" t="s">
        <v>623</v>
      </c>
      <c r="C218" s="5" t="s">
        <v>34</v>
      </c>
      <c r="D218" s="5" t="s">
        <v>35</v>
      </c>
      <c r="E218" s="5" t="s">
        <v>183</v>
      </c>
      <c r="F218" s="9">
        <v>1</v>
      </c>
      <c r="G218" s="9">
        <v>11</v>
      </c>
      <c r="H218" s="5" t="s">
        <v>20</v>
      </c>
      <c r="I218" s="5" t="s">
        <v>624</v>
      </c>
      <c r="J218" s="12" t="str">
        <f>HYPERLINK("https://www.boe.es/gazeta/dias/1807/01/02/pdfs/GMD-1807-1.pdf#page=11","Abrir facsímil")</f>
        <v>Abrir facsímil</v>
      </c>
      <c r="K218" s="15" t="s">
        <v>22</v>
      </c>
    </row>
    <row r="219" spans="1:11" ht="42" customHeight="1">
      <c r="A219" s="4" t="s">
        <v>625</v>
      </c>
      <c r="B219" s="5" t="s">
        <v>626</v>
      </c>
      <c r="C219" s="5" t="s">
        <v>17</v>
      </c>
      <c r="D219" s="5" t="s">
        <v>18</v>
      </c>
      <c r="E219" s="5" t="s">
        <v>441</v>
      </c>
      <c r="F219" s="9">
        <v>92</v>
      </c>
      <c r="G219" s="9">
        <v>1068</v>
      </c>
      <c r="H219" s="5" t="s">
        <v>20</v>
      </c>
      <c r="I219" s="5" t="s">
        <v>627</v>
      </c>
      <c r="J219" s="12" t="str">
        <f>HYPERLINK("https://www.boe.es/gazeta/dias/1807/10/13/pdfs/GMD-1807-92.pdf#page=8","Abrir facsímil")</f>
        <v>Abrir facsímil</v>
      </c>
      <c r="K219" s="15" t="s">
        <v>22</v>
      </c>
    </row>
    <row r="220" spans="1:11" ht="42" customHeight="1">
      <c r="A220" s="4" t="s">
        <v>628</v>
      </c>
      <c r="B220" s="5" t="s">
        <v>629</v>
      </c>
      <c r="C220" s="5" t="s">
        <v>17</v>
      </c>
      <c r="D220" s="5" t="s">
        <v>18</v>
      </c>
      <c r="E220" s="5" t="s">
        <v>51</v>
      </c>
      <c r="F220" s="9">
        <v>62</v>
      </c>
      <c r="G220" s="9">
        <v>732</v>
      </c>
      <c r="H220" s="5" t="s">
        <v>20</v>
      </c>
      <c r="I220" s="5" t="s">
        <v>630</v>
      </c>
      <c r="J220" s="12" t="str">
        <f>HYPERLINK("https://www.boe.es/gazeta/dias/1807/07/17/pdfs/GMD-1807-62.pdf#page=6","Abrir facsímil")</f>
        <v>Abrir facsímil</v>
      </c>
      <c r="K220" s="15" t="s">
        <v>22</v>
      </c>
    </row>
    <row r="221" spans="1:11" ht="42" customHeight="1">
      <c r="A221" s="4" t="s">
        <v>631</v>
      </c>
      <c r="B221" s="5" t="s">
        <v>631</v>
      </c>
      <c r="C221" s="5" t="s">
        <v>49</v>
      </c>
      <c r="D221" s="5" t="s">
        <v>50</v>
      </c>
      <c r="E221" s="5" t="s">
        <v>471</v>
      </c>
      <c r="F221" s="9">
        <v>51</v>
      </c>
      <c r="G221" s="9">
        <v>601</v>
      </c>
      <c r="H221" s="5" t="s">
        <v>20</v>
      </c>
      <c r="I221" s="5" t="s">
        <v>632</v>
      </c>
      <c r="J221" s="12" t="str">
        <f>HYPERLINK("https://www.boe.es/gazeta/dias/1807/06/16/pdfs/GMD-1807-51.pdf#page=3","Abrir facsímil")</f>
        <v>Abrir facsímil</v>
      </c>
      <c r="K221" s="15" t="s">
        <v>22</v>
      </c>
    </row>
    <row r="222" spans="1:11" ht="42" customHeight="1">
      <c r="A222" s="4" t="s">
        <v>633</v>
      </c>
      <c r="B222" s="5" t="s">
        <v>633</v>
      </c>
      <c r="C222" s="5" t="s">
        <v>49</v>
      </c>
      <c r="D222" s="5" t="s">
        <v>50</v>
      </c>
      <c r="E222" s="5" t="s">
        <v>221</v>
      </c>
      <c r="F222" s="9">
        <v>73</v>
      </c>
      <c r="G222" s="9">
        <v>839</v>
      </c>
      <c r="H222" s="5" t="s">
        <v>20</v>
      </c>
      <c r="I222" s="5" t="s">
        <v>634</v>
      </c>
      <c r="J222" s="12" t="str">
        <f>HYPERLINK("https://www.boe.es/gazeta/dias/1807/08/14/pdfs/GMD-1807-73.pdf#page=3","Abrir facsímil")</f>
        <v>Abrir facsímil</v>
      </c>
      <c r="K222" s="15" t="s">
        <v>22</v>
      </c>
    </row>
    <row r="223" spans="1:11" ht="42" customHeight="1">
      <c r="A223" s="4" t="s">
        <v>635</v>
      </c>
      <c r="B223" s="5" t="s">
        <v>635</v>
      </c>
      <c r="C223" s="5" t="s">
        <v>34</v>
      </c>
      <c r="D223" s="5" t="s">
        <v>35</v>
      </c>
      <c r="E223" s="5" t="s">
        <v>221</v>
      </c>
      <c r="F223" s="9">
        <v>73</v>
      </c>
      <c r="G223" s="9">
        <v>839</v>
      </c>
      <c r="H223" s="5" t="s">
        <v>20</v>
      </c>
      <c r="I223" s="5" t="s">
        <v>636</v>
      </c>
      <c r="J223" s="12" t="str">
        <f>HYPERLINK("https://www.boe.es/gazeta/dias/1807/08/14/pdfs/GMD-1807-73.pdf#page=3","Abrir facsímil")</f>
        <v>Abrir facsímil</v>
      </c>
      <c r="K223" s="15" t="s">
        <v>22</v>
      </c>
    </row>
    <row r="224" spans="1:11" ht="42" customHeight="1">
      <c r="A224" s="4" t="s">
        <v>637</v>
      </c>
      <c r="B224" s="5" t="s">
        <v>637</v>
      </c>
      <c r="C224" s="5" t="s">
        <v>34</v>
      </c>
      <c r="D224" s="5" t="s">
        <v>35</v>
      </c>
      <c r="E224" s="5" t="s">
        <v>221</v>
      </c>
      <c r="F224" s="9">
        <v>73</v>
      </c>
      <c r="G224" s="9">
        <v>838</v>
      </c>
      <c r="H224" s="5" t="s">
        <v>20</v>
      </c>
      <c r="I224" s="5" t="s">
        <v>638</v>
      </c>
      <c r="J224" s="12" t="str">
        <f>HYPERLINK("https://www.boe.es/gazeta/dias/1807/08/14/pdfs/GMD-1807-73.pdf#page=2","Abrir facsímil")</f>
        <v>Abrir facsímil</v>
      </c>
      <c r="K224" s="15" t="s">
        <v>22</v>
      </c>
    </row>
    <row r="225" spans="1:11" ht="42" customHeight="1">
      <c r="A225" s="4" t="s">
        <v>637</v>
      </c>
      <c r="B225" s="5" t="s">
        <v>637</v>
      </c>
      <c r="C225" s="5" t="s">
        <v>49</v>
      </c>
      <c r="D225" s="5" t="s">
        <v>50</v>
      </c>
      <c r="E225" s="5" t="s">
        <v>441</v>
      </c>
      <c r="F225" s="9">
        <v>92</v>
      </c>
      <c r="G225" s="9">
        <v>1063</v>
      </c>
      <c r="H225" s="5" t="s">
        <v>20</v>
      </c>
      <c r="I225" s="5" t="s">
        <v>639</v>
      </c>
      <c r="J225" s="12" t="str">
        <f>HYPERLINK("https://www.boe.es/gazeta/dias/1807/10/13/pdfs/GMD-1807-92.pdf#page=3","Abrir facsímil")</f>
        <v>Abrir facsímil</v>
      </c>
      <c r="K225" s="15" t="s">
        <v>22</v>
      </c>
    </row>
    <row r="226" spans="1:11" ht="42" customHeight="1">
      <c r="A226" s="4" t="s">
        <v>640</v>
      </c>
      <c r="B226" s="5" t="s">
        <v>640</v>
      </c>
      <c r="C226" s="5" t="s">
        <v>49</v>
      </c>
      <c r="D226" s="5" t="s">
        <v>50</v>
      </c>
      <c r="E226" s="5" t="s">
        <v>149</v>
      </c>
      <c r="F226" s="9">
        <v>38</v>
      </c>
      <c r="G226" s="9">
        <v>447</v>
      </c>
      <c r="H226" s="5" t="s">
        <v>20</v>
      </c>
      <c r="I226" s="5" t="s">
        <v>641</v>
      </c>
      <c r="J226" s="12" t="str">
        <f>HYPERLINK("https://www.boe.es/gazeta/dias/1807/05/01/pdfs/GMD-1807-38.pdf#page=3","Abrir facsímil")</f>
        <v>Abrir facsímil</v>
      </c>
      <c r="K226" s="15" t="s">
        <v>22</v>
      </c>
    </row>
    <row r="227" spans="1:11" ht="42" customHeight="1">
      <c r="A227" s="4" t="s">
        <v>642</v>
      </c>
      <c r="B227" s="5" t="s">
        <v>643</v>
      </c>
      <c r="C227" s="5" t="s">
        <v>28</v>
      </c>
      <c r="D227" s="5" t="s">
        <v>29</v>
      </c>
      <c r="E227" s="5" t="s">
        <v>98</v>
      </c>
      <c r="F227" s="9">
        <v>34</v>
      </c>
      <c r="G227" s="9">
        <v>404</v>
      </c>
      <c r="H227" s="5" t="s">
        <v>20</v>
      </c>
      <c r="I227" s="5" t="s">
        <v>644</v>
      </c>
      <c r="J227" s="12" t="str">
        <f>HYPERLINK("https://www.boe.es/gazeta/dias/1807/04/17/pdfs/GMD-1807-34.pdf#page=8","Abrir facsímil")</f>
        <v>Abrir facsímil</v>
      </c>
      <c r="K227" s="15" t="s">
        <v>22</v>
      </c>
    </row>
    <row r="228" spans="1:11" ht="42" customHeight="1">
      <c r="A228" s="4" t="s">
        <v>645</v>
      </c>
      <c r="B228" s="5" t="s">
        <v>645</v>
      </c>
      <c r="C228" s="5" t="s">
        <v>49</v>
      </c>
      <c r="D228" s="5" t="s">
        <v>50</v>
      </c>
      <c r="E228" s="5" t="s">
        <v>219</v>
      </c>
      <c r="F228" s="9">
        <v>56</v>
      </c>
      <c r="G228" s="9">
        <v>665</v>
      </c>
      <c r="H228" s="5" t="s">
        <v>20</v>
      </c>
      <c r="I228" s="5" t="s">
        <v>646</v>
      </c>
      <c r="J228" s="12" t="str">
        <f>HYPERLINK("https://www.boe.es/gazeta/dias/1807/07/03/pdfs/GMD-1807-56.pdf#page=3","Abrir facsímil")</f>
        <v>Abrir facsímil</v>
      </c>
      <c r="K228" s="15" t="s">
        <v>22</v>
      </c>
    </row>
    <row r="229" spans="1:11" ht="42" customHeight="1">
      <c r="A229" s="4" t="s">
        <v>647</v>
      </c>
      <c r="B229" s="5" t="s">
        <v>647</v>
      </c>
      <c r="C229" s="5" t="s">
        <v>28</v>
      </c>
      <c r="D229" s="5" t="s">
        <v>29</v>
      </c>
      <c r="E229" s="5" t="s">
        <v>275</v>
      </c>
      <c r="F229" s="9">
        <v>104</v>
      </c>
      <c r="G229" s="9">
        <v>1209</v>
      </c>
      <c r="H229" s="5" t="s">
        <v>20</v>
      </c>
      <c r="I229" s="5" t="s">
        <v>648</v>
      </c>
      <c r="J229" s="12" t="str">
        <f>HYPERLINK("https://www.boe.es/gazeta/dias/1807/11/24/pdfs/GMD-1807-104.pdf#page=5","Abrir facsímil")</f>
        <v>Abrir facsímil</v>
      </c>
      <c r="K229" s="15" t="s">
        <v>22</v>
      </c>
    </row>
    <row r="230" spans="1:11" ht="42" customHeight="1">
      <c r="A230" s="4" t="s">
        <v>649</v>
      </c>
      <c r="B230" s="5" t="s">
        <v>649</v>
      </c>
      <c r="C230" s="5" t="s">
        <v>49</v>
      </c>
      <c r="D230" s="5" t="s">
        <v>50</v>
      </c>
      <c r="E230" s="5" t="s">
        <v>79</v>
      </c>
      <c r="F230" s="9">
        <v>11</v>
      </c>
      <c r="G230" s="9">
        <v>118</v>
      </c>
      <c r="H230" s="5" t="s">
        <v>20</v>
      </c>
      <c r="I230" s="5" t="s">
        <v>650</v>
      </c>
      <c r="J230" s="12" t="str">
        <f>HYPERLINK("https://www.boe.es/gazeta/dias/1807/01/30/pdfs/GMD-1807-11.pdf#page=2","Abrir facsímil")</f>
        <v>Abrir facsímil</v>
      </c>
      <c r="K230" s="15" t="s">
        <v>22</v>
      </c>
    </row>
    <row r="231" spans="1:11" ht="42" customHeight="1">
      <c r="A231" s="4" t="s">
        <v>649</v>
      </c>
      <c r="B231" s="5" t="s">
        <v>649</v>
      </c>
      <c r="C231" s="5" t="s">
        <v>49</v>
      </c>
      <c r="D231" s="5" t="s">
        <v>50</v>
      </c>
      <c r="E231" s="5" t="s">
        <v>179</v>
      </c>
      <c r="F231" s="9">
        <v>100</v>
      </c>
      <c r="G231" s="9">
        <v>1161</v>
      </c>
      <c r="H231" s="5" t="s">
        <v>20</v>
      </c>
      <c r="I231" s="5" t="s">
        <v>651</v>
      </c>
      <c r="J231" s="12" t="str">
        <f>HYPERLINK("https://www.boe.es/gazeta/dias/1807/11/10/pdfs/GMD-1807-100.pdf#page=5","Abrir facsímil")</f>
        <v>Abrir facsímil</v>
      </c>
      <c r="K231" s="15" t="s">
        <v>22</v>
      </c>
    </row>
    <row r="232" spans="1:11" ht="42" customHeight="1">
      <c r="A232" s="4" t="s">
        <v>649</v>
      </c>
      <c r="B232" s="5" t="s">
        <v>649</v>
      </c>
      <c r="C232" s="5" t="s">
        <v>49</v>
      </c>
      <c r="D232" s="5" t="s">
        <v>50</v>
      </c>
      <c r="E232" s="5" t="s">
        <v>309</v>
      </c>
      <c r="F232" s="9">
        <v>107</v>
      </c>
      <c r="G232" s="9">
        <v>1241</v>
      </c>
      <c r="H232" s="5" t="s">
        <v>20</v>
      </c>
      <c r="I232" s="5" t="s">
        <v>652</v>
      </c>
      <c r="J232" s="12" t="str">
        <f>HYPERLINK("https://www.boe.es/gazeta/dias/1807/12/01/pdfs/GMD-1807-107.pdf#page=1","Abrir facsímil")</f>
        <v>Abrir facsímil</v>
      </c>
      <c r="K232" s="15" t="s">
        <v>22</v>
      </c>
    </row>
    <row r="233" spans="1:11" ht="42" customHeight="1">
      <c r="A233" s="4" t="s">
        <v>653</v>
      </c>
      <c r="B233" s="5" t="s">
        <v>653</v>
      </c>
      <c r="C233" s="5" t="s">
        <v>49</v>
      </c>
      <c r="D233" s="5" t="s">
        <v>50</v>
      </c>
      <c r="E233" s="5" t="s">
        <v>654</v>
      </c>
      <c r="F233" s="9">
        <v>94</v>
      </c>
      <c r="G233" s="9">
        <v>1088</v>
      </c>
      <c r="H233" s="5" t="s">
        <v>20</v>
      </c>
      <c r="I233" s="5" t="s">
        <v>655</v>
      </c>
      <c r="J233" s="12" t="str">
        <f>HYPERLINK("https://www.boe.es/gazeta/dias/1807/10/20/pdfs/GMD-1807-94.pdf#page=4","Abrir facsímil")</f>
        <v>Abrir facsímil</v>
      </c>
      <c r="K233" s="15" t="s">
        <v>22</v>
      </c>
    </row>
    <row r="234" spans="1:11" ht="42" customHeight="1">
      <c r="A234" s="4" t="s">
        <v>656</v>
      </c>
      <c r="B234" s="5" t="s">
        <v>657</v>
      </c>
      <c r="C234" s="5" t="s">
        <v>28</v>
      </c>
      <c r="D234" s="5" t="s">
        <v>29</v>
      </c>
      <c r="E234" s="5" t="s">
        <v>86</v>
      </c>
      <c r="F234" s="9">
        <v>12</v>
      </c>
      <c r="G234" s="9">
        <v>135</v>
      </c>
      <c r="H234" s="5" t="s">
        <v>20</v>
      </c>
      <c r="I234" s="5" t="s">
        <v>658</v>
      </c>
      <c r="J234" s="12" t="str">
        <f>HYPERLINK("https://www.boe.es/gazeta/dias/1807/02/03/pdfs/GMD-1807-12.pdf#page=7","Abrir facsímil")</f>
        <v>Abrir facsímil</v>
      </c>
      <c r="K234" s="15" t="s">
        <v>22</v>
      </c>
    </row>
    <row r="235" spans="1:11" ht="42" customHeight="1">
      <c r="A235" s="4" t="s">
        <v>659</v>
      </c>
      <c r="B235" s="5" t="s">
        <v>660</v>
      </c>
      <c r="C235" s="5" t="s">
        <v>28</v>
      </c>
      <c r="D235" s="5" t="s">
        <v>29</v>
      </c>
      <c r="E235" s="5" t="s">
        <v>30</v>
      </c>
      <c r="F235" s="9">
        <v>13</v>
      </c>
      <c r="G235" s="9">
        <v>149</v>
      </c>
      <c r="H235" s="5" t="s">
        <v>20</v>
      </c>
      <c r="I235" s="5" t="s">
        <v>661</v>
      </c>
      <c r="J235" s="12" t="str">
        <f>HYPERLINK("https://www.boe.es/gazeta/dias/1807/02/06/pdfs/GMD-1807-13.pdf#page=9","Abrir facsímil")</f>
        <v>Abrir facsímil</v>
      </c>
      <c r="K235" s="15" t="s">
        <v>22</v>
      </c>
    </row>
    <row r="236" spans="1:11" ht="42" customHeight="1">
      <c r="A236" s="4" t="s">
        <v>662</v>
      </c>
      <c r="B236" s="5" t="s">
        <v>663</v>
      </c>
      <c r="C236" s="5" t="s">
        <v>89</v>
      </c>
      <c r="D236" s="5" t="s">
        <v>90</v>
      </c>
      <c r="E236" s="5" t="s">
        <v>376</v>
      </c>
      <c r="F236" s="9">
        <v>19</v>
      </c>
      <c r="G236" s="9">
        <v>228</v>
      </c>
      <c r="H236" s="5" t="s">
        <v>20</v>
      </c>
      <c r="I236" s="5" t="s">
        <v>664</v>
      </c>
      <c r="J236" s="12" t="str">
        <f>HYPERLINK("https://www.boe.es/gazeta/dias/1807/02/27/pdfs/GMD-1807-19.pdf#page=12","Abrir facsímil")</f>
        <v>Abrir facsímil</v>
      </c>
      <c r="K236" s="15" t="s">
        <v>22</v>
      </c>
    </row>
    <row r="237" spans="1:11" ht="42" customHeight="1">
      <c r="A237" s="4" t="s">
        <v>665</v>
      </c>
      <c r="B237" s="5" t="s">
        <v>665</v>
      </c>
      <c r="C237" s="5" t="s">
        <v>34</v>
      </c>
      <c r="D237" s="5" t="s">
        <v>35</v>
      </c>
      <c r="E237" s="5" t="s">
        <v>666</v>
      </c>
      <c r="F237" s="9">
        <v>43</v>
      </c>
      <c r="G237" s="9">
        <v>515</v>
      </c>
      <c r="H237" s="5" t="s">
        <v>20</v>
      </c>
      <c r="I237" s="5" t="s">
        <v>667</v>
      </c>
      <c r="J237" s="12" t="str">
        <f>HYPERLINK("https://www.boe.es/gazeta/dias/1807/05/19/pdfs/GMD-1807-43.pdf#page=9","Abrir facsímil")</f>
        <v>Abrir facsímil</v>
      </c>
      <c r="K237" s="15" t="s">
        <v>22</v>
      </c>
    </row>
    <row r="238" spans="1:11" ht="42" customHeight="1">
      <c r="A238" s="4" t="s">
        <v>668</v>
      </c>
      <c r="B238" s="5" t="s">
        <v>669</v>
      </c>
      <c r="C238" s="5" t="s">
        <v>17</v>
      </c>
      <c r="D238" s="5" t="s">
        <v>18</v>
      </c>
      <c r="E238" s="5" t="s">
        <v>346</v>
      </c>
      <c r="F238" s="9">
        <v>21</v>
      </c>
      <c r="G238" s="9">
        <v>244</v>
      </c>
      <c r="H238" s="5" t="s">
        <v>20</v>
      </c>
      <c r="I238" s="5" t="s">
        <v>670</v>
      </c>
      <c r="J238" s="12" t="str">
        <f>HYPERLINK("https://www.boe.es/gazeta/dias/1807/03/03/pdfs/GMD-1807-21.pdf#page=8","Abrir facsímil")</f>
        <v>Abrir facsímil</v>
      </c>
      <c r="K238" s="15" t="s">
        <v>22</v>
      </c>
    </row>
    <row r="239" spans="1:11" ht="42" customHeight="1">
      <c r="A239" s="4" t="s">
        <v>671</v>
      </c>
      <c r="B239" s="5" t="s">
        <v>672</v>
      </c>
      <c r="C239" s="5" t="s">
        <v>17</v>
      </c>
      <c r="D239" s="5" t="s">
        <v>18</v>
      </c>
      <c r="E239" s="5" t="s">
        <v>245</v>
      </c>
      <c r="F239" s="9">
        <v>97</v>
      </c>
      <c r="G239" s="9">
        <v>1127</v>
      </c>
      <c r="H239" s="5" t="s">
        <v>20</v>
      </c>
      <c r="I239" s="5" t="s">
        <v>673</v>
      </c>
      <c r="J239" s="12" t="str">
        <f>HYPERLINK("https://www.boe.es/gazeta/dias/1807/10/30/pdfs/GMD-1807-97.pdf#page=7","Abrir facsímil")</f>
        <v>Abrir facsímil</v>
      </c>
      <c r="K239" s="15" t="s">
        <v>22</v>
      </c>
    </row>
    <row r="240" spans="1:11" ht="42" customHeight="1">
      <c r="A240" s="4" t="s">
        <v>674</v>
      </c>
      <c r="B240" s="5" t="s">
        <v>675</v>
      </c>
      <c r="C240" s="5" t="s">
        <v>34</v>
      </c>
      <c r="D240" s="5" t="s">
        <v>35</v>
      </c>
      <c r="E240" s="5" t="s">
        <v>319</v>
      </c>
      <c r="F240" s="9">
        <v>54</v>
      </c>
      <c r="G240" s="9">
        <v>645</v>
      </c>
      <c r="H240" s="5" t="s">
        <v>20</v>
      </c>
      <c r="I240" s="5" t="s">
        <v>676</v>
      </c>
      <c r="J240" s="12" t="str">
        <f>HYPERLINK("https://www.boe.es/gazeta/dias/1807/06/26/pdfs/GMD-1807-54.pdf#page=7","Abrir facsímil")</f>
        <v>Abrir facsímil</v>
      </c>
      <c r="K240" s="15" t="s">
        <v>22</v>
      </c>
    </row>
    <row r="241" spans="1:11" ht="42" customHeight="1">
      <c r="A241" s="4" t="s">
        <v>677</v>
      </c>
      <c r="B241" s="5" t="s">
        <v>677</v>
      </c>
      <c r="C241" s="5" t="s">
        <v>28</v>
      </c>
      <c r="D241" s="5" t="s">
        <v>29</v>
      </c>
      <c r="E241" s="5" t="s">
        <v>666</v>
      </c>
      <c r="F241" s="9">
        <v>43</v>
      </c>
      <c r="G241" s="9">
        <v>515</v>
      </c>
      <c r="H241" s="5" t="s">
        <v>20</v>
      </c>
      <c r="I241" s="5" t="s">
        <v>678</v>
      </c>
      <c r="J241" s="12" t="str">
        <f>HYPERLINK("https://www.boe.es/gazeta/dias/1807/05/19/pdfs/GMD-1807-43.pdf#page=9","Abrir facsímil")</f>
        <v>Abrir facsímil</v>
      </c>
      <c r="K241" s="15" t="s">
        <v>22</v>
      </c>
    </row>
    <row r="242" spans="1:11" ht="42" customHeight="1">
      <c r="A242" s="4" t="s">
        <v>679</v>
      </c>
      <c r="B242" s="5" t="s">
        <v>679</v>
      </c>
      <c r="C242" s="5" t="s">
        <v>34</v>
      </c>
      <c r="D242" s="5" t="s">
        <v>35</v>
      </c>
      <c r="E242" s="5" t="s">
        <v>36</v>
      </c>
      <c r="F242" s="9">
        <v>36</v>
      </c>
      <c r="G242" s="9">
        <v>430</v>
      </c>
      <c r="H242" s="5" t="s">
        <v>20</v>
      </c>
      <c r="I242" s="5" t="s">
        <v>680</v>
      </c>
      <c r="J242" s="12" t="str">
        <f>HYPERLINK("https://www.boe.es/gazeta/dias/1807/04/24/pdfs/GMD-1807-36.pdf#page=10","Abrir facsímil")</f>
        <v>Abrir facsímil</v>
      </c>
      <c r="K242" s="15" t="s">
        <v>22</v>
      </c>
    </row>
    <row r="243" spans="1:11" ht="42" customHeight="1">
      <c r="A243" s="4" t="s">
        <v>681</v>
      </c>
      <c r="B243" s="5" t="s">
        <v>681</v>
      </c>
      <c r="C243" s="5" t="s">
        <v>89</v>
      </c>
      <c r="D243" s="5" t="s">
        <v>90</v>
      </c>
      <c r="E243" s="5" t="s">
        <v>114</v>
      </c>
      <c r="F243" s="9">
        <v>46</v>
      </c>
      <c r="G243" s="9">
        <v>554</v>
      </c>
      <c r="H243" s="5" t="s">
        <v>20</v>
      </c>
      <c r="I243" s="5" t="s">
        <v>682</v>
      </c>
      <c r="J243" s="12" t="str">
        <f>HYPERLINK("https://www.boe.es/gazeta/dias/1807/05/29/pdfs/GMD-1807-46.pdf#page=12","Abrir facsímil")</f>
        <v>Abrir facsímil</v>
      </c>
      <c r="K243" s="15" t="s">
        <v>22</v>
      </c>
    </row>
    <row r="244" spans="1:11" ht="42" customHeight="1">
      <c r="A244" s="4" t="s">
        <v>683</v>
      </c>
      <c r="B244" s="5" t="s">
        <v>683</v>
      </c>
      <c r="C244" s="5" t="s">
        <v>24</v>
      </c>
      <c r="D244" s="5" t="s">
        <v>18</v>
      </c>
      <c r="E244" s="5" t="s">
        <v>36</v>
      </c>
      <c r="F244" s="9">
        <v>36</v>
      </c>
      <c r="G244" s="9">
        <v>431</v>
      </c>
      <c r="H244" s="5" t="s">
        <v>20</v>
      </c>
      <c r="I244" s="5" t="s">
        <v>684</v>
      </c>
      <c r="J244" s="12" t="str">
        <f>HYPERLINK("https://www.boe.es/gazeta/dias/1807/04/24/pdfs/GMD-1807-36.pdf#page=11","Abrir facsímil")</f>
        <v>Abrir facsímil</v>
      </c>
      <c r="K244" s="15" t="s">
        <v>22</v>
      </c>
    </row>
    <row r="245" spans="1:11" ht="42" customHeight="1">
      <c r="A245" s="4" t="s">
        <v>685</v>
      </c>
      <c r="B245" s="5" t="s">
        <v>685</v>
      </c>
      <c r="C245" s="5" t="s">
        <v>28</v>
      </c>
      <c r="D245" s="5" t="s">
        <v>29</v>
      </c>
      <c r="E245" s="5" t="s">
        <v>686</v>
      </c>
      <c r="F245" s="9">
        <v>106</v>
      </c>
      <c r="G245" s="9">
        <v>1238</v>
      </c>
      <c r="H245" s="5" t="s">
        <v>20</v>
      </c>
      <c r="I245" s="5" t="s">
        <v>687</v>
      </c>
      <c r="J245" s="12" t="str">
        <f>HYPERLINK("https://www.boe.es/gazeta/dias/1807/11/27/pdfs/GMD-1807-106.pdf#page=10","Abrir facsímil")</f>
        <v>Abrir facsímil</v>
      </c>
      <c r="K245" s="15" t="s">
        <v>22</v>
      </c>
    </row>
    <row r="246" spans="1:11" ht="42" customHeight="1">
      <c r="A246" s="4" t="s">
        <v>688</v>
      </c>
      <c r="B246" s="5" t="s">
        <v>689</v>
      </c>
      <c r="C246" s="5" t="s">
        <v>24</v>
      </c>
      <c r="D246" s="5" t="s">
        <v>18</v>
      </c>
      <c r="E246" s="5" t="s">
        <v>266</v>
      </c>
      <c r="F246" s="9">
        <v>67</v>
      </c>
      <c r="G246" s="9">
        <v>774</v>
      </c>
      <c r="H246" s="5" t="s">
        <v>20</v>
      </c>
      <c r="I246" s="5" t="s">
        <v>690</v>
      </c>
      <c r="J246" s="12" t="str">
        <f>HYPERLINK("https://www.boe.es/gazeta/dias/1807/07/28/pdfs/GMD-1807-67.pdf#page=10","Abrir facsímil")</f>
        <v>Abrir facsímil</v>
      </c>
      <c r="K246" s="15" t="s">
        <v>22</v>
      </c>
    </row>
    <row r="247" spans="1:11" ht="42" customHeight="1">
      <c r="A247" s="4" t="s">
        <v>691</v>
      </c>
      <c r="B247" s="5" t="s">
        <v>691</v>
      </c>
      <c r="C247" s="5" t="s">
        <v>28</v>
      </c>
      <c r="D247" s="5" t="s">
        <v>29</v>
      </c>
      <c r="E247" s="5" t="s">
        <v>65</v>
      </c>
      <c r="F247" s="9">
        <v>52</v>
      </c>
      <c r="G247" s="9">
        <v>622</v>
      </c>
      <c r="H247" s="5" t="s">
        <v>20</v>
      </c>
      <c r="I247" s="5" t="s">
        <v>692</v>
      </c>
      <c r="J247" s="12" t="str">
        <f>HYPERLINK("https://www.boe.es/gazeta/dias/1807/06/19/pdfs/GMD-1807-52.pdf#page=12","Abrir facsímil")</f>
        <v>Abrir facsímil</v>
      </c>
      <c r="K247" s="15" t="s">
        <v>22</v>
      </c>
    </row>
    <row r="248" spans="1:11" ht="42" customHeight="1">
      <c r="A248" s="4" t="s">
        <v>693</v>
      </c>
      <c r="B248" s="5" t="s">
        <v>694</v>
      </c>
      <c r="C248" s="5" t="s">
        <v>34</v>
      </c>
      <c r="D248" s="5" t="s">
        <v>35</v>
      </c>
      <c r="E248" s="5" t="s">
        <v>418</v>
      </c>
      <c r="F248" s="9">
        <v>4</v>
      </c>
      <c r="G248" s="9">
        <v>35</v>
      </c>
      <c r="H248" s="5" t="s">
        <v>20</v>
      </c>
      <c r="I248" s="5" t="s">
        <v>695</v>
      </c>
      <c r="J248" s="12" t="str">
        <f>HYPERLINK("https://www.boe.es/gazeta/dias/1807/01/13/pdfs/GMD-1807-4.pdf#page=3","Abrir facsímil")</f>
        <v>Abrir facsímil</v>
      </c>
      <c r="K248" s="15" t="s">
        <v>22</v>
      </c>
    </row>
    <row r="249" spans="1:11" ht="42" customHeight="1">
      <c r="A249" s="4" t="s">
        <v>696</v>
      </c>
      <c r="B249" s="5" t="s">
        <v>697</v>
      </c>
      <c r="C249" s="5" t="s">
        <v>49</v>
      </c>
      <c r="D249" s="5" t="s">
        <v>50</v>
      </c>
      <c r="E249" s="5" t="s">
        <v>79</v>
      </c>
      <c r="F249" s="9">
        <v>11</v>
      </c>
      <c r="G249" s="9">
        <v>123</v>
      </c>
      <c r="H249" s="5" t="s">
        <v>20</v>
      </c>
      <c r="I249" s="5" t="s">
        <v>698</v>
      </c>
      <c r="J249" s="12" t="str">
        <f>HYPERLINK("https://www.boe.es/gazeta/dias/1807/01/30/pdfs/GMD-1807-11.pdf#page=7","Abrir facsímil")</f>
        <v>Abrir facsímil</v>
      </c>
      <c r="K249" s="15" t="s">
        <v>22</v>
      </c>
    </row>
    <row r="250" spans="1:11" ht="42" customHeight="1">
      <c r="A250" s="4" t="s">
        <v>699</v>
      </c>
      <c r="B250" s="5" t="s">
        <v>700</v>
      </c>
      <c r="C250" s="5" t="s">
        <v>28</v>
      </c>
      <c r="D250" s="5" t="s">
        <v>29</v>
      </c>
      <c r="E250" s="5" t="s">
        <v>215</v>
      </c>
      <c r="F250" s="9">
        <v>5</v>
      </c>
      <c r="G250" s="9">
        <v>50</v>
      </c>
      <c r="H250" s="5" t="s">
        <v>20</v>
      </c>
      <c r="I250" s="5" t="s">
        <v>701</v>
      </c>
      <c r="J250" s="12" t="str">
        <f>HYPERLINK("https://www.boe.es/gazeta/dias/1807/01/16/pdfs/GMD-1807-5.pdf#page=6","Abrir facsímil")</f>
        <v>Abrir facsímil</v>
      </c>
      <c r="K250" s="15" t="s">
        <v>22</v>
      </c>
    </row>
    <row r="251" spans="1:11" ht="42" customHeight="1">
      <c r="A251" s="4" t="s">
        <v>702</v>
      </c>
      <c r="B251" s="5" t="s">
        <v>703</v>
      </c>
      <c r="C251" s="5" t="s">
        <v>28</v>
      </c>
      <c r="D251" s="5" t="s">
        <v>29</v>
      </c>
      <c r="E251" s="5" t="s">
        <v>259</v>
      </c>
      <c r="F251" s="9">
        <v>3</v>
      </c>
      <c r="G251" s="9">
        <v>26</v>
      </c>
      <c r="H251" s="5" t="s">
        <v>20</v>
      </c>
      <c r="I251" s="5" t="s">
        <v>704</v>
      </c>
      <c r="J251" s="12" t="str">
        <f>HYPERLINK("https://www.boe.es/gazeta/dias/1807/01/09/pdfs/GMD-1807-3.pdf#page=6","Abrir facsímil")</f>
        <v>Abrir facsímil</v>
      </c>
      <c r="K251" s="15" t="s">
        <v>22</v>
      </c>
    </row>
    <row r="252" spans="1:11" ht="42" customHeight="1">
      <c r="A252" s="4" t="s">
        <v>702</v>
      </c>
      <c r="B252" s="5" t="s">
        <v>703</v>
      </c>
      <c r="C252" s="5" t="s">
        <v>252</v>
      </c>
      <c r="D252" s="5" t="s">
        <v>253</v>
      </c>
      <c r="E252" s="5" t="s">
        <v>534</v>
      </c>
      <c r="F252" s="9" t="s">
        <v>535</v>
      </c>
      <c r="G252" s="9">
        <v>100</v>
      </c>
      <c r="H252" s="5" t="s">
        <v>20</v>
      </c>
      <c r="I252" s="5" t="s">
        <v>705</v>
      </c>
      <c r="J252" s="12" t="str">
        <f>HYPERLINK("https://www.boe.es/gazeta/dias/1807/01/24/pdfs/GMD-1807-9E.pdf#page=4","Abrir facsímil")</f>
        <v>Abrir facsímil</v>
      </c>
      <c r="K252" s="15" t="s">
        <v>22</v>
      </c>
    </row>
    <row r="253" spans="1:11" ht="42" customHeight="1">
      <c r="A253" s="4" t="s">
        <v>702</v>
      </c>
      <c r="B253" s="5" t="s">
        <v>703</v>
      </c>
      <c r="C253" s="5" t="s">
        <v>252</v>
      </c>
      <c r="D253" s="5" t="s">
        <v>253</v>
      </c>
      <c r="E253" s="5" t="s">
        <v>534</v>
      </c>
      <c r="F253" s="9" t="s">
        <v>535</v>
      </c>
      <c r="G253" s="9">
        <v>101</v>
      </c>
      <c r="H253" s="5" t="s">
        <v>20</v>
      </c>
      <c r="I253" s="5" t="s">
        <v>706</v>
      </c>
      <c r="J253" s="12" t="str">
        <f>HYPERLINK("https://www.boe.es/gazeta/dias/1807/01/24/pdfs/GMD-1807-9E.pdf#page=5","Abrir facsímil")</f>
        <v>Abrir facsímil</v>
      </c>
      <c r="K253" s="15" t="s">
        <v>22</v>
      </c>
    </row>
    <row r="254" spans="1:11" ht="42" customHeight="1">
      <c r="A254" s="4" t="s">
        <v>702</v>
      </c>
      <c r="B254" s="5" t="s">
        <v>703</v>
      </c>
      <c r="C254" s="5" t="s">
        <v>252</v>
      </c>
      <c r="D254" s="5" t="s">
        <v>253</v>
      </c>
      <c r="E254" s="5" t="s">
        <v>534</v>
      </c>
      <c r="F254" s="9" t="s">
        <v>535</v>
      </c>
      <c r="G254" s="9">
        <v>98</v>
      </c>
      <c r="H254" s="5" t="s">
        <v>20</v>
      </c>
      <c r="I254" s="5" t="s">
        <v>707</v>
      </c>
      <c r="J254" s="12" t="str">
        <f>HYPERLINK("https://www.boe.es/gazeta/dias/1807/01/24/pdfs/GMD-1807-9E.pdf#page=2","Abrir facsímil")</f>
        <v>Abrir facsímil</v>
      </c>
      <c r="K254" s="15" t="s">
        <v>22</v>
      </c>
    </row>
    <row r="255" spans="1:11" ht="42" customHeight="1">
      <c r="A255" s="4" t="s">
        <v>708</v>
      </c>
      <c r="B255" s="5" t="s">
        <v>709</v>
      </c>
      <c r="C255" s="5" t="s">
        <v>49</v>
      </c>
      <c r="D255" s="5" t="s">
        <v>50</v>
      </c>
      <c r="E255" s="5" t="s">
        <v>79</v>
      </c>
      <c r="F255" s="9">
        <v>11</v>
      </c>
      <c r="G255" s="9">
        <v>122</v>
      </c>
      <c r="H255" s="5" t="s">
        <v>20</v>
      </c>
      <c r="I255" s="5" t="s">
        <v>710</v>
      </c>
      <c r="J255" s="12" t="str">
        <f>HYPERLINK("https://www.boe.es/gazeta/dias/1807/01/30/pdfs/GMD-1807-11.pdf#page=6","Abrir facsímil")</f>
        <v>Abrir facsímil</v>
      </c>
      <c r="K255" s="15" t="s">
        <v>22</v>
      </c>
    </row>
    <row r="256" spans="1:11" ht="42" customHeight="1">
      <c r="A256" s="4" t="s">
        <v>711</v>
      </c>
      <c r="B256" s="5" t="s">
        <v>712</v>
      </c>
      <c r="C256" s="5" t="s">
        <v>49</v>
      </c>
      <c r="D256" s="5" t="s">
        <v>50</v>
      </c>
      <c r="E256" s="5" t="s">
        <v>111</v>
      </c>
      <c r="F256" s="9">
        <v>90</v>
      </c>
      <c r="G256" s="9">
        <v>1035</v>
      </c>
      <c r="H256" s="5" t="s">
        <v>20</v>
      </c>
      <c r="I256" s="5" t="s">
        <v>713</v>
      </c>
      <c r="J256" s="12" t="str">
        <f>HYPERLINK("https://www.boe.es/gazeta/dias/1807/10/06/pdfs/GMD-1807-90.pdf#page=3","Abrir facsímil")</f>
        <v>Abrir facsímil</v>
      </c>
      <c r="K256" s="15" t="s">
        <v>22</v>
      </c>
    </row>
    <row r="257" spans="1:11" ht="42" customHeight="1">
      <c r="A257" s="4" t="s">
        <v>714</v>
      </c>
      <c r="B257" s="5" t="s">
        <v>715</v>
      </c>
      <c r="C257" s="5" t="s">
        <v>49</v>
      </c>
      <c r="D257" s="5" t="s">
        <v>50</v>
      </c>
      <c r="E257" s="5" t="s">
        <v>444</v>
      </c>
      <c r="F257" s="9">
        <v>95</v>
      </c>
      <c r="G257" s="9">
        <v>1099</v>
      </c>
      <c r="H257" s="5" t="s">
        <v>20</v>
      </c>
      <c r="I257" s="5" t="s">
        <v>716</v>
      </c>
      <c r="J257" s="12" t="str">
        <f>HYPERLINK("https://www.boe.es/gazeta/dias/1807/10/23/pdfs/GMD-1807-95.pdf#page=3","Abrir facsímil")</f>
        <v>Abrir facsímil</v>
      </c>
      <c r="K257" s="15" t="s">
        <v>22</v>
      </c>
    </row>
    <row r="258" spans="1:11" ht="42" customHeight="1">
      <c r="A258" s="4" t="s">
        <v>714</v>
      </c>
      <c r="B258" s="5" t="s">
        <v>715</v>
      </c>
      <c r="C258" s="5" t="s">
        <v>28</v>
      </c>
      <c r="D258" s="5" t="s">
        <v>29</v>
      </c>
      <c r="E258" s="5" t="s">
        <v>91</v>
      </c>
      <c r="F258" s="9">
        <v>109</v>
      </c>
      <c r="G258" s="9">
        <v>1269</v>
      </c>
      <c r="H258" s="5" t="s">
        <v>20</v>
      </c>
      <c r="I258" s="5" t="s">
        <v>717</v>
      </c>
      <c r="J258" s="12" t="str">
        <f>HYPERLINK("https://www.boe.es/gazeta/dias/1807/12/08/pdfs/GMD-1807-109.pdf#page=5","Abrir facsímil")</f>
        <v>Abrir facsímil</v>
      </c>
      <c r="K258" s="15" t="s">
        <v>22</v>
      </c>
    </row>
    <row r="259" spans="1:11" ht="42" customHeight="1">
      <c r="A259" s="4" t="s">
        <v>718</v>
      </c>
      <c r="B259" s="5" t="s">
        <v>718</v>
      </c>
      <c r="C259" s="5" t="s">
        <v>34</v>
      </c>
      <c r="D259" s="5" t="s">
        <v>35</v>
      </c>
      <c r="E259" s="5" t="s">
        <v>422</v>
      </c>
      <c r="F259" s="9">
        <v>33</v>
      </c>
      <c r="G259" s="9">
        <v>394</v>
      </c>
      <c r="H259" s="5" t="s">
        <v>20</v>
      </c>
      <c r="I259" s="5" t="s">
        <v>719</v>
      </c>
      <c r="J259" s="12" t="str">
        <f>HYPERLINK("https://www.boe.es/gazeta/dias/1807/04/14/pdfs/GMD-1807-33.pdf#page=10","Abrir facsímil")</f>
        <v>Abrir facsímil</v>
      </c>
      <c r="K259" s="15" t="s">
        <v>22</v>
      </c>
    </row>
    <row r="260" spans="1:11" ht="42" customHeight="1">
      <c r="A260" s="4" t="s">
        <v>720</v>
      </c>
      <c r="B260" s="5" t="s">
        <v>721</v>
      </c>
      <c r="C260" s="5" t="s">
        <v>49</v>
      </c>
      <c r="D260" s="5" t="s">
        <v>50</v>
      </c>
      <c r="E260" s="5" t="s">
        <v>561</v>
      </c>
      <c r="F260" s="9">
        <v>44</v>
      </c>
      <c r="G260" s="9">
        <v>521</v>
      </c>
      <c r="H260" s="5" t="s">
        <v>20</v>
      </c>
      <c r="I260" s="5" t="s">
        <v>722</v>
      </c>
      <c r="J260" s="12" t="str">
        <f>HYPERLINK("https://www.boe.es/gazeta/dias/1807/05/22/pdfs/GMD-1807-44.pdf#page=3","Abrir facsímil")</f>
        <v>Abrir facsímil</v>
      </c>
      <c r="K260" s="15" t="s">
        <v>22</v>
      </c>
    </row>
    <row r="261" spans="1:11" ht="42" customHeight="1">
      <c r="A261" s="4" t="s">
        <v>720</v>
      </c>
      <c r="B261" s="5" t="s">
        <v>721</v>
      </c>
      <c r="C261" s="5" t="s">
        <v>34</v>
      </c>
      <c r="D261" s="5" t="s">
        <v>35</v>
      </c>
      <c r="E261" s="5" t="s">
        <v>384</v>
      </c>
      <c r="F261" s="9">
        <v>111</v>
      </c>
      <c r="G261" s="9">
        <v>1292</v>
      </c>
      <c r="H261" s="5" t="s">
        <v>20</v>
      </c>
      <c r="I261" s="5" t="s">
        <v>723</v>
      </c>
      <c r="J261" s="12" t="str">
        <f>HYPERLINK("https://www.boe.es/gazeta/dias/1807/12/15/pdfs/GMD-1807-111.pdf#page=4","Abrir facsímil")</f>
        <v>Abrir facsímil</v>
      </c>
      <c r="K261" s="15" t="s">
        <v>22</v>
      </c>
    </row>
    <row r="262" spans="1:11" ht="42" customHeight="1">
      <c r="A262" s="4" t="s">
        <v>724</v>
      </c>
      <c r="B262" s="5" t="s">
        <v>725</v>
      </c>
      <c r="C262" s="5" t="s">
        <v>28</v>
      </c>
      <c r="D262" s="5" t="s">
        <v>29</v>
      </c>
      <c r="E262" s="5" t="s">
        <v>76</v>
      </c>
      <c r="F262" s="9">
        <v>7</v>
      </c>
      <c r="G262" s="9">
        <v>73</v>
      </c>
      <c r="H262" s="5" t="s">
        <v>20</v>
      </c>
      <c r="I262" s="5" t="s">
        <v>726</v>
      </c>
      <c r="J262" s="12" t="str">
        <f>HYPERLINK("https://www.boe.es/gazeta/dias/1807/01/20/pdfs/GMD-1807-7.pdf#page=5","Abrir facsímil")</f>
        <v>Abrir facsímil</v>
      </c>
      <c r="K262" s="15" t="s">
        <v>22</v>
      </c>
    </row>
    <row r="263" spans="1:11" ht="42" customHeight="1">
      <c r="A263" s="4" t="s">
        <v>727</v>
      </c>
      <c r="B263" s="5" t="s">
        <v>728</v>
      </c>
      <c r="C263" s="5" t="s">
        <v>24</v>
      </c>
      <c r="D263" s="5" t="s">
        <v>18</v>
      </c>
      <c r="E263" s="5" t="s">
        <v>266</v>
      </c>
      <c r="F263" s="9">
        <v>67</v>
      </c>
      <c r="G263" s="9">
        <v>774</v>
      </c>
      <c r="H263" s="5" t="s">
        <v>20</v>
      </c>
      <c r="I263" s="5" t="s">
        <v>729</v>
      </c>
      <c r="J263" s="12" t="str">
        <f>HYPERLINK("https://www.boe.es/gazeta/dias/1807/07/28/pdfs/GMD-1807-67.pdf#page=10","Abrir facsímil")</f>
        <v>Abrir facsímil</v>
      </c>
      <c r="K263" s="15" t="s">
        <v>22</v>
      </c>
    </row>
    <row r="264" spans="1:11" ht="42" customHeight="1">
      <c r="A264" s="4" t="s">
        <v>730</v>
      </c>
      <c r="B264" s="5" t="s">
        <v>730</v>
      </c>
      <c r="C264" s="5" t="s">
        <v>34</v>
      </c>
      <c r="D264" s="5" t="s">
        <v>35</v>
      </c>
      <c r="E264" s="5" t="s">
        <v>36</v>
      </c>
      <c r="F264" s="9">
        <v>36</v>
      </c>
      <c r="G264" s="9">
        <v>430</v>
      </c>
      <c r="H264" s="5" t="s">
        <v>20</v>
      </c>
      <c r="I264" s="5" t="s">
        <v>731</v>
      </c>
      <c r="J264" s="12" t="str">
        <f>HYPERLINK("https://www.boe.es/gazeta/dias/1807/04/24/pdfs/GMD-1807-36.pdf#page=10","Abrir facsímil")</f>
        <v>Abrir facsímil</v>
      </c>
      <c r="K264" s="15" t="s">
        <v>22</v>
      </c>
    </row>
    <row r="265" spans="1:11" ht="42" customHeight="1">
      <c r="A265" s="4" t="s">
        <v>732</v>
      </c>
      <c r="B265" s="5" t="s">
        <v>732</v>
      </c>
      <c r="C265" s="5" t="s">
        <v>49</v>
      </c>
      <c r="D265" s="5" t="s">
        <v>50</v>
      </c>
      <c r="E265" s="5" t="s">
        <v>447</v>
      </c>
      <c r="F265" s="9">
        <v>65</v>
      </c>
      <c r="G265" s="9">
        <v>755</v>
      </c>
      <c r="H265" s="5" t="s">
        <v>20</v>
      </c>
      <c r="I265" s="5" t="s">
        <v>733</v>
      </c>
      <c r="J265" s="12" t="str">
        <f>HYPERLINK("https://www.boe.es/gazeta/dias/1807/07/24/pdfs/GMD-1807-65.pdf#page=5","Abrir facsímil")</f>
        <v>Abrir facsímil</v>
      </c>
      <c r="K265" s="15" t="s">
        <v>22</v>
      </c>
    </row>
    <row r="266" spans="1:11" ht="42" customHeight="1">
      <c r="A266" s="4" t="s">
        <v>734</v>
      </c>
      <c r="B266" s="5" t="s">
        <v>734</v>
      </c>
      <c r="C266" s="5" t="s">
        <v>49</v>
      </c>
      <c r="D266" s="5" t="s">
        <v>50</v>
      </c>
      <c r="E266" s="5" t="s">
        <v>581</v>
      </c>
      <c r="F266" s="9">
        <v>71</v>
      </c>
      <c r="G266" s="9">
        <v>809</v>
      </c>
      <c r="H266" s="5" t="s">
        <v>20</v>
      </c>
      <c r="I266" s="5" t="s">
        <v>735</v>
      </c>
      <c r="J266" s="12" t="str">
        <f>HYPERLINK("https://www.boe.es/gazeta/dias/1807/08/07/pdfs/GMD-1807-71.pdf#page=1","Abrir facsímil")</f>
        <v>Abrir facsímil</v>
      </c>
      <c r="K266" s="15" t="s">
        <v>22</v>
      </c>
    </row>
    <row r="267" spans="1:11" ht="42" customHeight="1">
      <c r="A267" s="4" t="s">
        <v>736</v>
      </c>
      <c r="B267" s="5" t="s">
        <v>736</v>
      </c>
      <c r="C267" s="5" t="s">
        <v>28</v>
      </c>
      <c r="D267" s="5" t="s">
        <v>29</v>
      </c>
      <c r="E267" s="5" t="s">
        <v>418</v>
      </c>
      <c r="F267" s="9">
        <v>4</v>
      </c>
      <c r="G267" s="9">
        <v>42</v>
      </c>
      <c r="H267" s="5" t="s">
        <v>20</v>
      </c>
      <c r="I267" s="5" t="s">
        <v>737</v>
      </c>
      <c r="J267" s="12" t="str">
        <f>HYPERLINK("https://www.boe.es/gazeta/dias/1807/01/13/pdfs/GMD-1807-4.pdf#page=10","Abrir facsímil")</f>
        <v>Abrir facsímil</v>
      </c>
      <c r="K267" s="15" t="s">
        <v>22</v>
      </c>
    </row>
    <row r="268" spans="1:11" ht="42" customHeight="1">
      <c r="A268" s="4" t="s">
        <v>738</v>
      </c>
      <c r="B268" s="5" t="s">
        <v>738</v>
      </c>
      <c r="C268" s="5" t="s">
        <v>89</v>
      </c>
      <c r="D268" s="5" t="s">
        <v>90</v>
      </c>
      <c r="E268" s="5" t="s">
        <v>101</v>
      </c>
      <c r="F268" s="9">
        <v>23</v>
      </c>
      <c r="G268" s="9">
        <v>275</v>
      </c>
      <c r="H268" s="5" t="s">
        <v>20</v>
      </c>
      <c r="I268" s="5" t="s">
        <v>739</v>
      </c>
      <c r="J268" s="12" t="str">
        <f>HYPERLINK("https://www.boe.es/gazeta/dias/1807/03/10/pdfs/GMD-1807-23.pdf#page=15","Abrir facsímil")</f>
        <v>Abrir facsímil</v>
      </c>
      <c r="K268" s="15" t="s">
        <v>22</v>
      </c>
    </row>
    <row r="269" spans="1:11" ht="42" customHeight="1">
      <c r="A269" s="4" t="s">
        <v>740</v>
      </c>
      <c r="B269" s="5" t="s">
        <v>741</v>
      </c>
      <c r="C269" s="5" t="s">
        <v>34</v>
      </c>
      <c r="D269" s="5" t="s">
        <v>35</v>
      </c>
      <c r="E269" s="5" t="s">
        <v>83</v>
      </c>
      <c r="F269" s="9">
        <v>50</v>
      </c>
      <c r="G269" s="9">
        <v>595</v>
      </c>
      <c r="H269" s="5" t="s">
        <v>20</v>
      </c>
      <c r="I269" s="5" t="s">
        <v>742</v>
      </c>
      <c r="J269" s="12" t="str">
        <f>HYPERLINK("https://www.boe.es/gazeta/dias/1807/06/12/pdfs/GMD-1807-50.pdf#page=9","Abrir facsímil")</f>
        <v>Abrir facsímil</v>
      </c>
      <c r="K269" s="15" t="s">
        <v>22</v>
      </c>
    </row>
    <row r="270" spans="1:11" ht="42" customHeight="1">
      <c r="A270" s="4" t="s">
        <v>743</v>
      </c>
      <c r="B270" s="5" t="s">
        <v>744</v>
      </c>
      <c r="C270" s="5" t="s">
        <v>28</v>
      </c>
      <c r="D270" s="5" t="s">
        <v>29</v>
      </c>
      <c r="E270" s="5" t="s">
        <v>111</v>
      </c>
      <c r="F270" s="9">
        <v>90</v>
      </c>
      <c r="G270" s="9">
        <v>1046</v>
      </c>
      <c r="H270" s="5" t="s">
        <v>20</v>
      </c>
      <c r="I270" s="5" t="s">
        <v>745</v>
      </c>
      <c r="J270" s="12" t="str">
        <f>HYPERLINK("https://www.boe.es/gazeta/dias/1807/10/06/pdfs/GMD-1807-90.pdf#page=14","Abrir facsímil")</f>
        <v>Abrir facsímil</v>
      </c>
      <c r="K270" s="15" t="s">
        <v>22</v>
      </c>
    </row>
    <row r="271" spans="1:11" ht="42" customHeight="1">
      <c r="A271" s="4" t="s">
        <v>746</v>
      </c>
      <c r="B271" s="5" t="s">
        <v>747</v>
      </c>
      <c r="C271" s="5" t="s">
        <v>28</v>
      </c>
      <c r="D271" s="5" t="s">
        <v>29</v>
      </c>
      <c r="E271" s="5" t="s">
        <v>111</v>
      </c>
      <c r="F271" s="9">
        <v>90</v>
      </c>
      <c r="G271" s="9">
        <v>1046</v>
      </c>
      <c r="H271" s="5" t="s">
        <v>20</v>
      </c>
      <c r="I271" s="5" t="s">
        <v>748</v>
      </c>
      <c r="J271" s="12" t="str">
        <f>HYPERLINK("https://www.boe.es/gazeta/dias/1807/10/06/pdfs/GMD-1807-90.pdf#page=14","Abrir facsímil")</f>
        <v>Abrir facsímil</v>
      </c>
      <c r="K271" s="15" t="s">
        <v>22</v>
      </c>
    </row>
    <row r="272" spans="1:11" ht="42" customHeight="1">
      <c r="A272" s="4" t="s">
        <v>749</v>
      </c>
      <c r="B272" s="5" t="s">
        <v>750</v>
      </c>
      <c r="C272" s="5" t="s">
        <v>28</v>
      </c>
      <c r="D272" s="5" t="s">
        <v>29</v>
      </c>
      <c r="E272" s="5" t="s">
        <v>98</v>
      </c>
      <c r="F272" s="9">
        <v>34</v>
      </c>
      <c r="G272" s="9">
        <v>406</v>
      </c>
      <c r="H272" s="5" t="s">
        <v>20</v>
      </c>
      <c r="I272" s="5" t="s">
        <v>751</v>
      </c>
      <c r="J272" s="12" t="str">
        <f>HYPERLINK("https://www.boe.es/gazeta/dias/1807/04/17/pdfs/GMD-1807-34.pdf#page=10","Abrir facsímil")</f>
        <v>Abrir facsímil</v>
      </c>
      <c r="K272" s="15" t="s">
        <v>22</v>
      </c>
    </row>
    <row r="273" spans="1:11" ht="42" customHeight="1">
      <c r="A273" s="4" t="s">
        <v>752</v>
      </c>
      <c r="B273" s="5" t="s">
        <v>753</v>
      </c>
      <c r="C273" s="5" t="s">
        <v>28</v>
      </c>
      <c r="D273" s="5" t="s">
        <v>29</v>
      </c>
      <c r="E273" s="5" t="s">
        <v>754</v>
      </c>
      <c r="F273" s="9">
        <v>103</v>
      </c>
      <c r="G273" s="9">
        <v>1202</v>
      </c>
      <c r="H273" s="5" t="s">
        <v>20</v>
      </c>
      <c r="I273" s="5" t="s">
        <v>755</v>
      </c>
      <c r="J273" s="12" t="str">
        <f>HYPERLINK("https://www.boe.es/gazeta/dias/1807/11/20/pdfs/GMD-1807-103.pdf#page=10","Abrir facsímil")</f>
        <v>Abrir facsímil</v>
      </c>
      <c r="K273" s="15" t="s">
        <v>22</v>
      </c>
    </row>
    <row r="274" spans="1:11" ht="42" customHeight="1">
      <c r="A274" s="4" t="s">
        <v>756</v>
      </c>
      <c r="B274" s="5" t="s">
        <v>756</v>
      </c>
      <c r="C274" s="5" t="s">
        <v>89</v>
      </c>
      <c r="D274" s="5" t="s">
        <v>90</v>
      </c>
      <c r="E274" s="5" t="s">
        <v>208</v>
      </c>
      <c r="F274" s="9">
        <v>42</v>
      </c>
      <c r="G274" s="9">
        <v>506</v>
      </c>
      <c r="H274" s="5" t="s">
        <v>20</v>
      </c>
      <c r="I274" s="5" t="s">
        <v>757</v>
      </c>
      <c r="J274" s="12" t="str">
        <f>HYPERLINK("https://www.boe.es/gazeta/dias/1807/05/15/pdfs/GMD-1807-42.pdf#page=12","Abrir facsímil")</f>
        <v>Abrir facsímil</v>
      </c>
      <c r="K274" s="15" t="s">
        <v>22</v>
      </c>
    </row>
    <row r="275" spans="1:11" ht="42" customHeight="1">
      <c r="A275" s="4" t="s">
        <v>758</v>
      </c>
      <c r="B275" s="5" t="s">
        <v>759</v>
      </c>
      <c r="C275" s="5" t="s">
        <v>49</v>
      </c>
      <c r="D275" s="5" t="s">
        <v>50</v>
      </c>
      <c r="E275" s="5" t="s">
        <v>471</v>
      </c>
      <c r="F275" s="9">
        <v>51</v>
      </c>
      <c r="G275" s="9">
        <v>603</v>
      </c>
      <c r="H275" s="5" t="s">
        <v>20</v>
      </c>
      <c r="I275" s="5" t="s">
        <v>760</v>
      </c>
      <c r="J275" s="12" t="str">
        <f>HYPERLINK("https://www.boe.es/gazeta/dias/1807/06/16/pdfs/GMD-1807-51.pdf#page=5","Abrir facsímil")</f>
        <v>Abrir facsímil</v>
      </c>
      <c r="K275" s="15" t="s">
        <v>22</v>
      </c>
    </row>
    <row r="276" spans="1:11" ht="42" customHeight="1">
      <c r="A276" s="4" t="s">
        <v>761</v>
      </c>
      <c r="B276" s="5" t="s">
        <v>762</v>
      </c>
      <c r="C276" s="5" t="s">
        <v>24</v>
      </c>
      <c r="D276" s="5" t="s">
        <v>18</v>
      </c>
      <c r="E276" s="5" t="s">
        <v>25</v>
      </c>
      <c r="F276" s="9">
        <v>45</v>
      </c>
      <c r="G276" s="9">
        <v>540</v>
      </c>
      <c r="H276" s="5" t="s">
        <v>20</v>
      </c>
      <c r="I276" s="5" t="s">
        <v>763</v>
      </c>
      <c r="J276" s="12" t="str">
        <f>HYPERLINK("https://www.boe.es/gazeta/dias/1807/05/26/pdfs/GMD-1807-45.pdf#page=10","Abrir facsímil")</f>
        <v>Abrir facsímil</v>
      </c>
      <c r="K276" s="15" t="s">
        <v>22</v>
      </c>
    </row>
    <row r="277" spans="1:11" ht="42" customHeight="1">
      <c r="A277" s="4" t="s">
        <v>764</v>
      </c>
      <c r="B277" s="5" t="s">
        <v>765</v>
      </c>
      <c r="C277" s="5" t="s">
        <v>28</v>
      </c>
      <c r="D277" s="5" t="s">
        <v>29</v>
      </c>
      <c r="E277" s="5" t="s">
        <v>561</v>
      </c>
      <c r="F277" s="9">
        <v>44</v>
      </c>
      <c r="G277" s="9">
        <v>528</v>
      </c>
      <c r="H277" s="5" t="s">
        <v>20</v>
      </c>
      <c r="I277" s="5" t="s">
        <v>766</v>
      </c>
      <c r="J277" s="12" t="str">
        <f>HYPERLINK("https://www.boe.es/gazeta/dias/1807/05/22/pdfs/GMD-1807-44.pdf#page=10","Abrir facsímil")</f>
        <v>Abrir facsímil</v>
      </c>
      <c r="K277" s="15" t="s">
        <v>22</v>
      </c>
    </row>
    <row r="278" spans="1:11" ht="42" customHeight="1">
      <c r="A278" s="4" t="s">
        <v>764</v>
      </c>
      <c r="B278" s="5" t="s">
        <v>765</v>
      </c>
      <c r="C278" s="5" t="s">
        <v>24</v>
      </c>
      <c r="D278" s="5" t="s">
        <v>18</v>
      </c>
      <c r="E278" s="5" t="s">
        <v>91</v>
      </c>
      <c r="F278" s="9">
        <v>109</v>
      </c>
      <c r="G278" s="9">
        <v>1273</v>
      </c>
      <c r="H278" s="5" t="s">
        <v>20</v>
      </c>
      <c r="I278" s="5" t="s">
        <v>767</v>
      </c>
      <c r="J278" s="12" t="str">
        <f>HYPERLINK("https://www.boe.es/gazeta/dias/1807/12/08/pdfs/GMD-1807-109.pdf#page=9","Abrir facsímil")</f>
        <v>Abrir facsímil</v>
      </c>
      <c r="K278" s="15" t="s">
        <v>22</v>
      </c>
    </row>
    <row r="279" spans="1:11" ht="42" customHeight="1">
      <c r="A279" s="4" t="s">
        <v>768</v>
      </c>
      <c r="B279" s="5" t="s">
        <v>769</v>
      </c>
      <c r="C279" s="5" t="s">
        <v>49</v>
      </c>
      <c r="D279" s="5" t="s">
        <v>50</v>
      </c>
      <c r="E279" s="5" t="s">
        <v>572</v>
      </c>
      <c r="F279" s="9">
        <v>14</v>
      </c>
      <c r="G279" s="9">
        <v>158</v>
      </c>
      <c r="H279" s="5" t="s">
        <v>20</v>
      </c>
      <c r="I279" s="5" t="s">
        <v>770</v>
      </c>
      <c r="J279" s="12" t="str">
        <f>HYPERLINK("https://www.boe.es/gazeta/dias/1807/02/10/pdfs/GMD-1807-14.pdf#page=6","Abrir facsímil")</f>
        <v>Abrir facsímil</v>
      </c>
      <c r="K279" s="15" t="s">
        <v>22</v>
      </c>
    </row>
    <row r="280" spans="1:11" ht="42" customHeight="1">
      <c r="A280" s="4" t="s">
        <v>771</v>
      </c>
      <c r="B280" s="5" t="s">
        <v>772</v>
      </c>
      <c r="C280" s="5" t="s">
        <v>49</v>
      </c>
      <c r="D280" s="5" t="s">
        <v>50</v>
      </c>
      <c r="E280" s="5" t="s">
        <v>464</v>
      </c>
      <c r="F280" s="9">
        <v>18</v>
      </c>
      <c r="G280" s="9">
        <v>206</v>
      </c>
      <c r="H280" s="5" t="s">
        <v>20</v>
      </c>
      <c r="I280" s="5" t="s">
        <v>773</v>
      </c>
      <c r="J280" s="12" t="str">
        <f>HYPERLINK("https://www.boe.es/gazeta/dias/1807/02/24/pdfs/GMD-1807-18.pdf#page=6","Abrir facsímil")</f>
        <v>Abrir facsímil</v>
      </c>
      <c r="K280" s="15" t="s">
        <v>22</v>
      </c>
    </row>
    <row r="281" spans="1:11" ht="42" customHeight="1">
      <c r="A281" s="4" t="s">
        <v>771</v>
      </c>
      <c r="B281" s="5" t="s">
        <v>772</v>
      </c>
      <c r="C281" s="5" t="s">
        <v>49</v>
      </c>
      <c r="D281" s="5" t="s">
        <v>50</v>
      </c>
      <c r="E281" s="5" t="s">
        <v>666</v>
      </c>
      <c r="F281" s="9">
        <v>43</v>
      </c>
      <c r="G281" s="9">
        <v>508</v>
      </c>
      <c r="H281" s="5" t="s">
        <v>20</v>
      </c>
      <c r="I281" s="5" t="s">
        <v>774</v>
      </c>
      <c r="J281" s="12" t="str">
        <f>HYPERLINK("https://www.boe.es/gazeta/dias/1807/05/19/pdfs/GMD-1807-43.pdf#page=2","Abrir facsímil")</f>
        <v>Abrir facsímil</v>
      </c>
      <c r="K281" s="15" t="s">
        <v>22</v>
      </c>
    </row>
    <row r="282" spans="1:11" ht="42" customHeight="1">
      <c r="A282" s="4" t="s">
        <v>775</v>
      </c>
      <c r="B282" s="5" t="s">
        <v>776</v>
      </c>
      <c r="C282" s="5" t="s">
        <v>28</v>
      </c>
      <c r="D282" s="5" t="s">
        <v>29</v>
      </c>
      <c r="E282" s="5" t="s">
        <v>40</v>
      </c>
      <c r="F282" s="9">
        <v>26</v>
      </c>
      <c r="G282" s="9">
        <v>313</v>
      </c>
      <c r="H282" s="5" t="s">
        <v>20</v>
      </c>
      <c r="I282" s="5" t="s">
        <v>777</v>
      </c>
      <c r="J282" s="12" t="str">
        <f>HYPERLINK("https://www.boe.es/gazeta/dias/1807/03/20/pdfs/GMD-1807-26.pdf#page=9","Abrir facsímil")</f>
        <v>Abrir facsímil</v>
      </c>
      <c r="K282" s="15" t="s">
        <v>22</v>
      </c>
    </row>
    <row r="283" spans="1:11" ht="42" customHeight="1">
      <c r="A283" s="4" t="s">
        <v>778</v>
      </c>
      <c r="B283" s="5" t="s">
        <v>779</v>
      </c>
      <c r="C283" s="5" t="s">
        <v>28</v>
      </c>
      <c r="D283" s="5" t="s">
        <v>29</v>
      </c>
      <c r="E283" s="5" t="s">
        <v>101</v>
      </c>
      <c r="F283" s="9">
        <v>23</v>
      </c>
      <c r="G283" s="9">
        <v>271</v>
      </c>
      <c r="H283" s="5" t="s">
        <v>20</v>
      </c>
      <c r="I283" s="5" t="s">
        <v>780</v>
      </c>
      <c r="J283" s="12" t="str">
        <f>HYPERLINK("https://www.boe.es/gazeta/dias/1807/03/10/pdfs/GMD-1807-23.pdf#page=11","Abrir facsímil")</f>
        <v>Abrir facsímil</v>
      </c>
      <c r="K283" s="15" t="s">
        <v>22</v>
      </c>
    </row>
    <row r="284" spans="1:11" ht="42" customHeight="1">
      <c r="A284" s="4" t="s">
        <v>778</v>
      </c>
      <c r="B284" s="5" t="s">
        <v>779</v>
      </c>
      <c r="C284" s="5" t="s">
        <v>89</v>
      </c>
      <c r="D284" s="5" t="s">
        <v>90</v>
      </c>
      <c r="E284" s="5" t="s">
        <v>478</v>
      </c>
      <c r="F284" s="9">
        <v>30</v>
      </c>
      <c r="G284" s="9">
        <v>360</v>
      </c>
      <c r="H284" s="5" t="s">
        <v>20</v>
      </c>
      <c r="I284" s="5" t="s">
        <v>781</v>
      </c>
      <c r="J284" s="12" t="str">
        <f>HYPERLINK("https://www.boe.es/gazeta/dias/1807/04/03/pdfs/GMD-1807-30.pdf#page=12","Abrir facsímil")</f>
        <v>Abrir facsímil</v>
      </c>
      <c r="K284" s="15" t="s">
        <v>22</v>
      </c>
    </row>
    <row r="285" spans="1:11" ht="42" customHeight="1">
      <c r="A285" s="4" t="s">
        <v>778</v>
      </c>
      <c r="B285" s="5" t="s">
        <v>779</v>
      </c>
      <c r="C285" s="5" t="s">
        <v>34</v>
      </c>
      <c r="D285" s="5" t="s">
        <v>35</v>
      </c>
      <c r="E285" s="5" t="s">
        <v>426</v>
      </c>
      <c r="F285" s="9">
        <v>93</v>
      </c>
      <c r="G285" s="9">
        <v>1084</v>
      </c>
      <c r="H285" s="5" t="s">
        <v>20</v>
      </c>
      <c r="I285" s="5" t="s">
        <v>782</v>
      </c>
      <c r="J285" s="12" t="str">
        <f>HYPERLINK("https://www.boe.es/gazeta/dias/1807/10/16/pdfs/GMD-1807-93.pdf#page=12","Abrir facsímil")</f>
        <v>Abrir facsímil</v>
      </c>
      <c r="K285" s="15" t="s">
        <v>22</v>
      </c>
    </row>
    <row r="286" spans="1:11" ht="42" customHeight="1">
      <c r="A286" s="4" t="s">
        <v>783</v>
      </c>
      <c r="B286" s="5" t="s">
        <v>784</v>
      </c>
      <c r="C286" s="5" t="s">
        <v>34</v>
      </c>
      <c r="D286" s="5" t="s">
        <v>35</v>
      </c>
      <c r="E286" s="5" t="s">
        <v>319</v>
      </c>
      <c r="F286" s="9">
        <v>54</v>
      </c>
      <c r="G286" s="9">
        <v>645</v>
      </c>
      <c r="H286" s="5" t="s">
        <v>20</v>
      </c>
      <c r="I286" s="5" t="s">
        <v>785</v>
      </c>
      <c r="J286" s="12" t="str">
        <f>HYPERLINK("https://www.boe.es/gazeta/dias/1807/06/26/pdfs/GMD-1807-54.pdf#page=7","Abrir facsímil")</f>
        <v>Abrir facsímil</v>
      </c>
      <c r="K286" s="15" t="s">
        <v>22</v>
      </c>
    </row>
    <row r="287" spans="1:11" ht="42" customHeight="1">
      <c r="A287" s="4" t="s">
        <v>786</v>
      </c>
      <c r="B287" s="5" t="s">
        <v>787</v>
      </c>
      <c r="C287" s="5" t="s">
        <v>34</v>
      </c>
      <c r="D287" s="5" t="s">
        <v>35</v>
      </c>
      <c r="E287" s="5" t="s">
        <v>36</v>
      </c>
      <c r="F287" s="9">
        <v>36</v>
      </c>
      <c r="G287" s="9">
        <v>430</v>
      </c>
      <c r="H287" s="5" t="s">
        <v>20</v>
      </c>
      <c r="I287" s="5" t="s">
        <v>788</v>
      </c>
      <c r="J287" s="12" t="str">
        <f>HYPERLINK("https://www.boe.es/gazeta/dias/1807/04/24/pdfs/GMD-1807-36.pdf#page=10","Abrir facsímil")</f>
        <v>Abrir facsímil</v>
      </c>
      <c r="K287" s="15" t="s">
        <v>22</v>
      </c>
    </row>
    <row r="288" spans="1:11" ht="42" customHeight="1">
      <c r="A288" s="4" t="s">
        <v>789</v>
      </c>
      <c r="B288" s="5" t="s">
        <v>790</v>
      </c>
      <c r="C288" s="5" t="s">
        <v>34</v>
      </c>
      <c r="D288" s="5" t="s">
        <v>35</v>
      </c>
      <c r="E288" s="5" t="s">
        <v>94</v>
      </c>
      <c r="F288" s="9">
        <v>22</v>
      </c>
      <c r="G288" s="9">
        <v>254</v>
      </c>
      <c r="H288" s="5" t="s">
        <v>20</v>
      </c>
      <c r="I288" s="5" t="s">
        <v>791</v>
      </c>
      <c r="J288" s="12" t="str">
        <f>HYPERLINK("https://www.boe.es/gazeta/dias/1807/03/06/pdfs/GMD-1807-22.pdf#page=6","Abrir facsímil")</f>
        <v>Abrir facsímil</v>
      </c>
      <c r="K288" s="15" t="s">
        <v>22</v>
      </c>
    </row>
    <row r="289" spans="1:11" ht="42" customHeight="1">
      <c r="A289" s="4" t="s">
        <v>792</v>
      </c>
      <c r="B289" s="5" t="s">
        <v>792</v>
      </c>
      <c r="C289" s="5" t="s">
        <v>24</v>
      </c>
      <c r="D289" s="5" t="s">
        <v>18</v>
      </c>
      <c r="E289" s="5" t="s">
        <v>793</v>
      </c>
      <c r="F289" s="9">
        <v>87</v>
      </c>
      <c r="G289" s="9">
        <v>1011</v>
      </c>
      <c r="H289" s="5" t="s">
        <v>20</v>
      </c>
      <c r="I289" s="5" t="s">
        <v>794</v>
      </c>
      <c r="J289" s="12" t="str">
        <f>HYPERLINK("https://www.boe.es/gazeta/dias/1807/09/29/pdfs/GMD-1807-87.pdf#page=11","Abrir facsímil")</f>
        <v>Abrir facsímil</v>
      </c>
      <c r="K289" s="15" t="s">
        <v>22</v>
      </c>
    </row>
    <row r="290" spans="1:11" ht="42" customHeight="1">
      <c r="A290" s="4" t="s">
        <v>795</v>
      </c>
      <c r="B290" s="5" t="s">
        <v>796</v>
      </c>
      <c r="C290" s="5" t="s">
        <v>34</v>
      </c>
      <c r="D290" s="5" t="s">
        <v>35</v>
      </c>
      <c r="E290" s="5" t="s">
        <v>595</v>
      </c>
      <c r="F290" s="9">
        <v>59</v>
      </c>
      <c r="G290" s="9">
        <v>702</v>
      </c>
      <c r="H290" s="5" t="s">
        <v>20</v>
      </c>
      <c r="I290" s="5" t="s">
        <v>797</v>
      </c>
      <c r="J290" s="12" t="str">
        <f>HYPERLINK("https://www.boe.es/gazeta/dias/1807/07/10/pdfs/GMD-1807-59.pdf#page=8","Abrir facsímil")</f>
        <v>Abrir facsímil</v>
      </c>
      <c r="K290" s="15" t="s">
        <v>22</v>
      </c>
    </row>
    <row r="291" spans="1:11" ht="42" customHeight="1">
      <c r="A291" s="4" t="s">
        <v>798</v>
      </c>
      <c r="B291" s="5" t="s">
        <v>799</v>
      </c>
      <c r="C291" s="5" t="s">
        <v>34</v>
      </c>
      <c r="D291" s="5" t="s">
        <v>35</v>
      </c>
      <c r="E291" s="5" t="s">
        <v>65</v>
      </c>
      <c r="F291" s="9">
        <v>52</v>
      </c>
      <c r="G291" s="9">
        <v>621</v>
      </c>
      <c r="H291" s="5" t="s">
        <v>20</v>
      </c>
      <c r="I291" s="5" t="s">
        <v>800</v>
      </c>
      <c r="J291" s="12" t="str">
        <f>HYPERLINK("https://www.boe.es/gazeta/dias/1807/06/19/pdfs/GMD-1807-52.pdf#page=11","Abrir facsímil")</f>
        <v>Abrir facsímil</v>
      </c>
      <c r="K291" s="15" t="s">
        <v>22</v>
      </c>
    </row>
    <row r="292" spans="1:11" ht="42" customHeight="1">
      <c r="A292" s="4" t="s">
        <v>801</v>
      </c>
      <c r="B292" s="5" t="s">
        <v>801</v>
      </c>
      <c r="C292" s="5" t="s">
        <v>34</v>
      </c>
      <c r="D292" s="5" t="s">
        <v>35</v>
      </c>
      <c r="E292" s="5" t="s">
        <v>441</v>
      </c>
      <c r="F292" s="9">
        <v>92</v>
      </c>
      <c r="G292" s="9">
        <v>1068</v>
      </c>
      <c r="H292" s="5" t="s">
        <v>20</v>
      </c>
      <c r="I292" s="5" t="s">
        <v>802</v>
      </c>
      <c r="J292" s="12" t="str">
        <f>HYPERLINK("https://www.boe.es/gazeta/dias/1807/10/13/pdfs/GMD-1807-92.pdf#page=8","Abrir facsímil")</f>
        <v>Abrir facsímil</v>
      </c>
      <c r="K292" s="15" t="s">
        <v>22</v>
      </c>
    </row>
    <row r="293" spans="1:11" ht="42" customHeight="1">
      <c r="A293" s="4" t="s">
        <v>803</v>
      </c>
      <c r="B293" s="5" t="s">
        <v>803</v>
      </c>
      <c r="C293" s="5" t="s">
        <v>34</v>
      </c>
      <c r="D293" s="5" t="s">
        <v>35</v>
      </c>
      <c r="E293" s="5" t="s">
        <v>471</v>
      </c>
      <c r="F293" s="9">
        <v>51</v>
      </c>
      <c r="G293" s="9">
        <v>605</v>
      </c>
      <c r="H293" s="5" t="s">
        <v>20</v>
      </c>
      <c r="I293" s="5" t="s">
        <v>804</v>
      </c>
      <c r="J293" s="12" t="str">
        <f>HYPERLINK("https://www.boe.es/gazeta/dias/1807/06/16/pdfs/GMD-1807-51.pdf#page=7","Abrir facsímil")</f>
        <v>Abrir facsímil</v>
      </c>
      <c r="K293" s="15" t="s">
        <v>22</v>
      </c>
    </row>
    <row r="294" spans="1:11" ht="42" customHeight="1">
      <c r="A294" s="4" t="s">
        <v>805</v>
      </c>
      <c r="B294" s="5" t="s">
        <v>805</v>
      </c>
      <c r="C294" s="5" t="s">
        <v>34</v>
      </c>
      <c r="D294" s="5" t="s">
        <v>35</v>
      </c>
      <c r="E294" s="5" t="s">
        <v>183</v>
      </c>
      <c r="F294" s="9">
        <v>1</v>
      </c>
      <c r="G294" s="9">
        <v>10</v>
      </c>
      <c r="H294" s="5" t="s">
        <v>20</v>
      </c>
      <c r="I294" s="5" t="s">
        <v>806</v>
      </c>
      <c r="J294" s="12" t="str">
        <f>HYPERLINK("https://www.boe.es/gazeta/dias/1807/01/02/pdfs/GMD-1807-1.pdf#page=10","Abrir facsímil")</f>
        <v>Abrir facsímil</v>
      </c>
      <c r="K294" s="15" t="s">
        <v>22</v>
      </c>
    </row>
    <row r="295" spans="1:11" ht="42" customHeight="1">
      <c r="A295" s="4" t="s">
        <v>807</v>
      </c>
      <c r="B295" s="5" t="s">
        <v>807</v>
      </c>
      <c r="C295" s="5" t="s">
        <v>28</v>
      </c>
      <c r="D295" s="5" t="s">
        <v>29</v>
      </c>
      <c r="E295" s="5" t="s">
        <v>152</v>
      </c>
      <c r="F295" s="9">
        <v>61</v>
      </c>
      <c r="G295" s="9">
        <v>720</v>
      </c>
      <c r="H295" s="5" t="s">
        <v>20</v>
      </c>
      <c r="I295" s="5" t="s">
        <v>808</v>
      </c>
      <c r="J295" s="12" t="str">
        <f>HYPERLINK("https://www.boe.es/gazeta/dias/1807/07/14/pdfs/GMD-1807-61.pdf#page=6","Abrir facsímil")</f>
        <v>Abrir facsímil</v>
      </c>
      <c r="K295" s="15" t="s">
        <v>22</v>
      </c>
    </row>
    <row r="296" spans="1:11" ht="42" customHeight="1">
      <c r="A296" s="4" t="s">
        <v>809</v>
      </c>
      <c r="B296" s="5" t="s">
        <v>809</v>
      </c>
      <c r="C296" s="5" t="s">
        <v>17</v>
      </c>
      <c r="D296" s="5" t="s">
        <v>18</v>
      </c>
      <c r="E296" s="5" t="s">
        <v>346</v>
      </c>
      <c r="F296" s="9">
        <v>21</v>
      </c>
      <c r="G296" s="9">
        <v>244</v>
      </c>
      <c r="H296" s="5" t="s">
        <v>20</v>
      </c>
      <c r="I296" s="5" t="s">
        <v>810</v>
      </c>
      <c r="J296" s="12" t="str">
        <f>HYPERLINK("https://www.boe.es/gazeta/dias/1807/03/03/pdfs/GMD-1807-21.pdf#page=8","Abrir facsímil")</f>
        <v>Abrir facsímil</v>
      </c>
      <c r="K296" s="15" t="s">
        <v>22</v>
      </c>
    </row>
    <row r="297" spans="1:11" ht="42" customHeight="1">
      <c r="A297" s="4" t="s">
        <v>811</v>
      </c>
      <c r="B297" s="5" t="s">
        <v>811</v>
      </c>
      <c r="C297" s="5" t="s">
        <v>17</v>
      </c>
      <c r="D297" s="5" t="s">
        <v>18</v>
      </c>
      <c r="E297" s="5" t="s">
        <v>19</v>
      </c>
      <c r="F297" s="9">
        <v>41</v>
      </c>
      <c r="G297" s="9">
        <v>489</v>
      </c>
      <c r="H297" s="5" t="s">
        <v>20</v>
      </c>
      <c r="I297" s="5" t="s">
        <v>812</v>
      </c>
      <c r="J297" s="12" t="str">
        <f>HYPERLINK("https://www.boe.es/gazeta/dias/1807/05/12/pdfs/GMD-1807-41.pdf#page=7","Abrir facsímil")</f>
        <v>Abrir facsímil</v>
      </c>
      <c r="K297" s="15" t="s">
        <v>22</v>
      </c>
    </row>
    <row r="298" spans="1:11" ht="42" customHeight="1">
      <c r="A298" s="4" t="s">
        <v>811</v>
      </c>
      <c r="B298" s="5" t="s">
        <v>811</v>
      </c>
      <c r="C298" s="5" t="s">
        <v>34</v>
      </c>
      <c r="D298" s="5" t="s">
        <v>35</v>
      </c>
      <c r="E298" s="5" t="s">
        <v>241</v>
      </c>
      <c r="F298" s="9">
        <v>76</v>
      </c>
      <c r="G298" s="9">
        <v>879</v>
      </c>
      <c r="H298" s="5" t="s">
        <v>20</v>
      </c>
      <c r="I298" s="5" t="s">
        <v>813</v>
      </c>
      <c r="J298" s="12" t="str">
        <f>HYPERLINK("https://www.boe.es/gazeta/dias/1807/08/25/pdfs/GMD-1807-76.pdf#page=7","Abrir facsímil")</f>
        <v>Abrir facsímil</v>
      </c>
      <c r="K298" s="15" t="s">
        <v>22</v>
      </c>
    </row>
    <row r="299" spans="1:11" ht="42" customHeight="1">
      <c r="A299" s="4" t="s">
        <v>811</v>
      </c>
      <c r="B299" s="5" t="s">
        <v>811</v>
      </c>
      <c r="C299" s="5" t="s">
        <v>17</v>
      </c>
      <c r="D299" s="5" t="s">
        <v>18</v>
      </c>
      <c r="E299" s="5" t="s">
        <v>361</v>
      </c>
      <c r="F299" s="9">
        <v>113</v>
      </c>
      <c r="G299" s="9">
        <v>1322</v>
      </c>
      <c r="H299" s="5" t="s">
        <v>20</v>
      </c>
      <c r="I299" s="5" t="s">
        <v>814</v>
      </c>
      <c r="J299" s="12" t="str">
        <f>HYPERLINK("https://www.boe.es/gazeta/dias/1807/12/22/pdfs/GMD-1807-113.pdf#page=10","Abrir facsímil")</f>
        <v>Abrir facsímil</v>
      </c>
      <c r="K299" s="15" t="s">
        <v>22</v>
      </c>
    </row>
    <row r="300" spans="1:11" ht="42" customHeight="1">
      <c r="A300" s="4" t="s">
        <v>815</v>
      </c>
      <c r="B300" s="5" t="s">
        <v>815</v>
      </c>
      <c r="C300" s="5" t="s">
        <v>34</v>
      </c>
      <c r="D300" s="5" t="s">
        <v>35</v>
      </c>
      <c r="E300" s="5" t="s">
        <v>19</v>
      </c>
      <c r="F300" s="9">
        <v>41</v>
      </c>
      <c r="G300" s="9">
        <v>489</v>
      </c>
      <c r="H300" s="5" t="s">
        <v>20</v>
      </c>
      <c r="I300" s="5" t="s">
        <v>816</v>
      </c>
      <c r="J300" s="12" t="str">
        <f>HYPERLINK("https://www.boe.es/gazeta/dias/1807/05/12/pdfs/GMD-1807-41.pdf#page=7","Abrir facsímil")</f>
        <v>Abrir facsímil</v>
      </c>
      <c r="K300" s="15" t="s">
        <v>22</v>
      </c>
    </row>
    <row r="301" spans="1:11" ht="42" customHeight="1">
      <c r="A301" s="4" t="s">
        <v>817</v>
      </c>
      <c r="B301" s="5" t="s">
        <v>817</v>
      </c>
      <c r="C301" s="5" t="s">
        <v>34</v>
      </c>
      <c r="D301" s="5" t="s">
        <v>35</v>
      </c>
      <c r="E301" s="5" t="s">
        <v>314</v>
      </c>
      <c r="F301" s="9" t="s">
        <v>315</v>
      </c>
      <c r="G301" s="9">
        <v>1221</v>
      </c>
      <c r="H301" s="5" t="s">
        <v>20</v>
      </c>
      <c r="I301" s="5" t="s">
        <v>818</v>
      </c>
      <c r="J301" s="12" t="str">
        <f>HYPERLINK("https://www.boe.es/gazeta/dias/1807/11/26/pdfs/GMD-1807-105E.pdf#page=5","Abrir facsímil")</f>
        <v>Abrir facsímil</v>
      </c>
      <c r="K301" s="15" t="s">
        <v>22</v>
      </c>
    </row>
    <row r="302" spans="1:11" ht="42" customHeight="1">
      <c r="A302" s="4" t="s">
        <v>819</v>
      </c>
      <c r="B302" s="5" t="s">
        <v>819</v>
      </c>
      <c r="C302" s="5" t="s">
        <v>89</v>
      </c>
      <c r="D302" s="5" t="s">
        <v>90</v>
      </c>
      <c r="E302" s="5" t="s">
        <v>319</v>
      </c>
      <c r="F302" s="9">
        <v>54</v>
      </c>
      <c r="G302" s="9">
        <v>649</v>
      </c>
      <c r="H302" s="5" t="s">
        <v>20</v>
      </c>
      <c r="I302" s="5" t="s">
        <v>820</v>
      </c>
      <c r="J302" s="12" t="str">
        <f>HYPERLINK("https://www.boe.es/gazeta/dias/1807/06/26/pdfs/GMD-1807-54.pdf#page=11","Abrir facsímil")</f>
        <v>Abrir facsímil</v>
      </c>
      <c r="K302" s="15" t="s">
        <v>22</v>
      </c>
    </row>
    <row r="303" spans="1:11" ht="42" customHeight="1">
      <c r="A303" s="4" t="s">
        <v>821</v>
      </c>
      <c r="B303" s="5" t="s">
        <v>822</v>
      </c>
      <c r="C303" s="5" t="s">
        <v>17</v>
      </c>
      <c r="D303" s="5" t="s">
        <v>18</v>
      </c>
      <c r="E303" s="5" t="s">
        <v>94</v>
      </c>
      <c r="F303" s="9">
        <v>22</v>
      </c>
      <c r="G303" s="9">
        <v>255</v>
      </c>
      <c r="H303" s="5" t="s">
        <v>20</v>
      </c>
      <c r="I303" s="5" t="s">
        <v>823</v>
      </c>
      <c r="J303" s="12" t="str">
        <f>HYPERLINK("https://www.boe.es/gazeta/dias/1807/03/06/pdfs/GMD-1807-22.pdf#page=7","Abrir facsímil")</f>
        <v>Abrir facsímil</v>
      </c>
      <c r="K303" s="15" t="s">
        <v>22</v>
      </c>
    </row>
    <row r="304" spans="1:11" ht="42" customHeight="1">
      <c r="A304" s="4" t="s">
        <v>824</v>
      </c>
      <c r="B304" s="5" t="s">
        <v>825</v>
      </c>
      <c r="C304" s="5" t="s">
        <v>34</v>
      </c>
      <c r="D304" s="5" t="s">
        <v>35</v>
      </c>
      <c r="E304" s="5" t="s">
        <v>282</v>
      </c>
      <c r="F304" s="9">
        <v>16</v>
      </c>
      <c r="G304" s="9">
        <v>185</v>
      </c>
      <c r="H304" s="5" t="s">
        <v>20</v>
      </c>
      <c r="I304" s="5" t="s">
        <v>826</v>
      </c>
      <c r="J304" s="12" t="str">
        <f>HYPERLINK("https://www.boe.es/gazeta/dias/1807/02/17/pdfs/GMD-1807-16.pdf#page=9","Abrir facsímil")</f>
        <v>Abrir facsímil</v>
      </c>
      <c r="K304" s="15" t="s">
        <v>22</v>
      </c>
    </row>
    <row r="305" spans="1:11" ht="42" customHeight="1">
      <c r="A305" s="4" t="s">
        <v>827</v>
      </c>
      <c r="B305" s="5" t="s">
        <v>828</v>
      </c>
      <c r="C305" s="5" t="s">
        <v>34</v>
      </c>
      <c r="D305" s="5" t="s">
        <v>35</v>
      </c>
      <c r="E305" s="5" t="s">
        <v>114</v>
      </c>
      <c r="F305" s="9">
        <v>46</v>
      </c>
      <c r="G305" s="9">
        <v>548</v>
      </c>
      <c r="H305" s="5" t="s">
        <v>20</v>
      </c>
      <c r="I305" s="5" t="s">
        <v>829</v>
      </c>
      <c r="J305" s="12" t="str">
        <f>HYPERLINK("https://www.boe.es/gazeta/dias/1807/05/29/pdfs/GMD-1807-46.pdf#page=6","Abrir facsímil")</f>
        <v>Abrir facsímil</v>
      </c>
      <c r="K305" s="15" t="s">
        <v>22</v>
      </c>
    </row>
    <row r="306" spans="1:11" ht="42" customHeight="1">
      <c r="A306" s="4" t="s">
        <v>830</v>
      </c>
      <c r="B306" s="5" t="s">
        <v>831</v>
      </c>
      <c r="C306" s="5" t="s">
        <v>34</v>
      </c>
      <c r="D306" s="5" t="s">
        <v>35</v>
      </c>
      <c r="E306" s="5" t="s">
        <v>620</v>
      </c>
      <c r="F306" s="9">
        <v>84</v>
      </c>
      <c r="G306" s="9">
        <v>982</v>
      </c>
      <c r="H306" s="5" t="s">
        <v>20</v>
      </c>
      <c r="I306" s="5" t="s">
        <v>832</v>
      </c>
      <c r="J306" s="12" t="str">
        <f>HYPERLINK("https://www.boe.es/gazeta/dias/1807/09/22/pdfs/GMD-1807-84.pdf#page=10","Abrir facsímil")</f>
        <v>Abrir facsímil</v>
      </c>
      <c r="K306" s="15" t="s">
        <v>22</v>
      </c>
    </row>
    <row r="307" spans="1:11" ht="42" customHeight="1">
      <c r="A307" s="4" t="s">
        <v>833</v>
      </c>
      <c r="B307" s="5" t="s">
        <v>834</v>
      </c>
      <c r="C307" s="5" t="s">
        <v>34</v>
      </c>
      <c r="D307" s="5" t="s">
        <v>35</v>
      </c>
      <c r="E307" s="5" t="s">
        <v>208</v>
      </c>
      <c r="F307" s="9">
        <v>42</v>
      </c>
      <c r="G307" s="9">
        <v>502</v>
      </c>
      <c r="H307" s="5" t="s">
        <v>20</v>
      </c>
      <c r="I307" s="5" t="s">
        <v>835</v>
      </c>
      <c r="J307" s="12" t="str">
        <f>HYPERLINK("https://www.boe.es/gazeta/dias/1807/05/15/pdfs/GMD-1807-42.pdf#page=8","Abrir facsímil")</f>
        <v>Abrir facsímil</v>
      </c>
      <c r="K307" s="15" t="s">
        <v>22</v>
      </c>
    </row>
    <row r="308" spans="1:11" ht="42" customHeight="1">
      <c r="A308" s="4" t="s">
        <v>836</v>
      </c>
      <c r="B308" s="5" t="s">
        <v>837</v>
      </c>
      <c r="C308" s="5" t="s">
        <v>49</v>
      </c>
      <c r="D308" s="5" t="s">
        <v>50</v>
      </c>
      <c r="E308" s="5" t="s">
        <v>572</v>
      </c>
      <c r="F308" s="9">
        <v>14</v>
      </c>
      <c r="G308" s="9">
        <v>159</v>
      </c>
      <c r="H308" s="5" t="s">
        <v>20</v>
      </c>
      <c r="I308" s="5" t="s">
        <v>838</v>
      </c>
      <c r="J308" s="12" t="str">
        <f>HYPERLINK("https://www.boe.es/gazeta/dias/1807/02/10/pdfs/GMD-1807-14.pdf#page=7","Abrir facsímil")</f>
        <v>Abrir facsímil</v>
      </c>
      <c r="K308" s="15" t="s">
        <v>22</v>
      </c>
    </row>
    <row r="309" spans="1:11" ht="42" customHeight="1">
      <c r="A309" s="4" t="s">
        <v>839</v>
      </c>
      <c r="B309" s="5" t="s">
        <v>840</v>
      </c>
      <c r="C309" s="5" t="s">
        <v>49</v>
      </c>
      <c r="D309" s="5" t="s">
        <v>50</v>
      </c>
      <c r="E309" s="5" t="s">
        <v>572</v>
      </c>
      <c r="F309" s="9">
        <v>14</v>
      </c>
      <c r="G309" s="9">
        <v>158</v>
      </c>
      <c r="H309" s="5" t="s">
        <v>20</v>
      </c>
      <c r="I309" s="5" t="s">
        <v>841</v>
      </c>
      <c r="J309" s="12" t="str">
        <f>HYPERLINK("https://www.boe.es/gazeta/dias/1807/02/10/pdfs/GMD-1807-14.pdf#page=6","Abrir facsímil")</f>
        <v>Abrir facsímil</v>
      </c>
      <c r="K309" s="15" t="s">
        <v>22</v>
      </c>
    </row>
    <row r="310" spans="1:11" ht="42" customHeight="1">
      <c r="A310" s="4" t="s">
        <v>842</v>
      </c>
      <c r="B310" s="5" t="s">
        <v>843</v>
      </c>
      <c r="C310" s="5" t="s">
        <v>49</v>
      </c>
      <c r="D310" s="5" t="s">
        <v>50</v>
      </c>
      <c r="E310" s="5" t="s">
        <v>471</v>
      </c>
      <c r="F310" s="9">
        <v>51</v>
      </c>
      <c r="G310" s="9">
        <v>602</v>
      </c>
      <c r="H310" s="5" t="s">
        <v>20</v>
      </c>
      <c r="I310" s="5" t="s">
        <v>844</v>
      </c>
      <c r="J310" s="12" t="str">
        <f>HYPERLINK("https://www.boe.es/gazeta/dias/1807/06/16/pdfs/GMD-1807-51.pdf#page=4","Abrir facsímil")</f>
        <v>Abrir facsímil</v>
      </c>
      <c r="K310" s="15" t="s">
        <v>22</v>
      </c>
    </row>
    <row r="311" spans="1:11" ht="42" customHeight="1">
      <c r="A311" s="4" t="s">
        <v>845</v>
      </c>
      <c r="B311" s="5" t="s">
        <v>846</v>
      </c>
      <c r="C311" s="5" t="s">
        <v>49</v>
      </c>
      <c r="D311" s="5" t="s">
        <v>50</v>
      </c>
      <c r="E311" s="5" t="s">
        <v>30</v>
      </c>
      <c r="F311" s="9">
        <v>13</v>
      </c>
      <c r="G311" s="9">
        <v>148</v>
      </c>
      <c r="H311" s="5" t="s">
        <v>20</v>
      </c>
      <c r="I311" s="5" t="s">
        <v>847</v>
      </c>
      <c r="J311" s="12" t="str">
        <f>HYPERLINK("https://www.boe.es/gazeta/dias/1807/02/06/pdfs/GMD-1807-13.pdf#page=8","Abrir facsímil")</f>
        <v>Abrir facsímil</v>
      </c>
      <c r="K311" s="15" t="s">
        <v>22</v>
      </c>
    </row>
    <row r="312" spans="1:11" ht="42" customHeight="1">
      <c r="A312" s="4" t="s">
        <v>848</v>
      </c>
      <c r="B312" s="5" t="s">
        <v>849</v>
      </c>
      <c r="C312" s="5" t="s">
        <v>34</v>
      </c>
      <c r="D312" s="5" t="s">
        <v>35</v>
      </c>
      <c r="E312" s="5" t="s">
        <v>76</v>
      </c>
      <c r="F312" s="9">
        <v>7</v>
      </c>
      <c r="G312" s="9">
        <v>69</v>
      </c>
      <c r="H312" s="5" t="s">
        <v>20</v>
      </c>
      <c r="I312" s="5" t="s">
        <v>850</v>
      </c>
      <c r="J312" s="12" t="str">
        <f>HYPERLINK("https://www.boe.es/gazeta/dias/1807/01/20/pdfs/GMD-1807-7.pdf#page=1","Abrir facsímil")</f>
        <v>Abrir facsímil</v>
      </c>
      <c r="K312" s="15" t="s">
        <v>22</v>
      </c>
    </row>
    <row r="313" spans="1:11" ht="42" customHeight="1">
      <c r="A313" s="4" t="s">
        <v>851</v>
      </c>
      <c r="B313" s="5" t="s">
        <v>852</v>
      </c>
      <c r="C313" s="5" t="s">
        <v>34</v>
      </c>
      <c r="D313" s="5" t="s">
        <v>35</v>
      </c>
      <c r="E313" s="5" t="s">
        <v>76</v>
      </c>
      <c r="F313" s="9">
        <v>7</v>
      </c>
      <c r="G313" s="9">
        <v>71</v>
      </c>
      <c r="H313" s="5" t="s">
        <v>20</v>
      </c>
      <c r="I313" s="5" t="s">
        <v>853</v>
      </c>
      <c r="J313" s="12" t="str">
        <f>HYPERLINK("https://www.boe.es/gazeta/dias/1807/01/20/pdfs/GMD-1807-7.pdf#page=3","Abrir facsímil")</f>
        <v>Abrir facsímil</v>
      </c>
      <c r="K313" s="15" t="s">
        <v>22</v>
      </c>
    </row>
    <row r="314" spans="1:11" ht="42" customHeight="1">
      <c r="A314" s="4" t="s">
        <v>854</v>
      </c>
      <c r="B314" s="5" t="s">
        <v>855</v>
      </c>
      <c r="C314" s="5" t="s">
        <v>34</v>
      </c>
      <c r="D314" s="5" t="s">
        <v>35</v>
      </c>
      <c r="E314" s="5" t="s">
        <v>156</v>
      </c>
      <c r="F314" s="9">
        <v>74</v>
      </c>
      <c r="G314" s="9">
        <v>855</v>
      </c>
      <c r="H314" s="5" t="s">
        <v>20</v>
      </c>
      <c r="I314" s="5" t="s">
        <v>856</v>
      </c>
      <c r="J314" s="12" t="str">
        <f>HYPERLINK("https://www.boe.es/gazeta/dias/1807/08/18/pdfs/GMD-1807-74.pdf#page=7","Abrir facsímil")</f>
        <v>Abrir facsímil</v>
      </c>
      <c r="K314" s="15" t="s">
        <v>22</v>
      </c>
    </row>
    <row r="315" spans="1:11" ht="42" customHeight="1">
      <c r="A315" s="4" t="s">
        <v>857</v>
      </c>
      <c r="B315" s="5" t="s">
        <v>858</v>
      </c>
      <c r="C315" s="5" t="s">
        <v>28</v>
      </c>
      <c r="D315" s="5" t="s">
        <v>29</v>
      </c>
      <c r="E315" s="5" t="s">
        <v>42</v>
      </c>
      <c r="F315" s="9">
        <v>31</v>
      </c>
      <c r="G315" s="9">
        <v>367</v>
      </c>
      <c r="H315" s="5" t="s">
        <v>20</v>
      </c>
      <c r="I315" s="5" t="s">
        <v>859</v>
      </c>
      <c r="J315" s="12" t="str">
        <f>HYPERLINK("https://www.boe.es/gazeta/dias/1807/04/07/pdfs/GMD-1807-31.pdf#page=7","Abrir facsímil")</f>
        <v>Abrir facsímil</v>
      </c>
      <c r="K315" s="15" t="s">
        <v>22</v>
      </c>
    </row>
    <row r="316" spans="1:11" ht="42" customHeight="1">
      <c r="A316" s="4" t="s">
        <v>860</v>
      </c>
      <c r="B316" s="5" t="s">
        <v>861</v>
      </c>
      <c r="C316" s="5" t="s">
        <v>34</v>
      </c>
      <c r="D316" s="5" t="s">
        <v>35</v>
      </c>
      <c r="E316" s="5" t="s">
        <v>390</v>
      </c>
      <c r="F316" s="9">
        <v>24</v>
      </c>
      <c r="G316" s="9">
        <v>287</v>
      </c>
      <c r="H316" s="5" t="s">
        <v>20</v>
      </c>
      <c r="I316" s="5" t="s">
        <v>862</v>
      </c>
      <c r="J316" s="12" t="str">
        <f>HYPERLINK("https://www.boe.es/gazeta/dias/1807/03/13/pdfs/GMD-1807-24.pdf#page=11","Abrir facsímil")</f>
        <v>Abrir facsímil</v>
      </c>
      <c r="K316" s="15" t="s">
        <v>22</v>
      </c>
    </row>
    <row r="317" spans="1:11" ht="42" customHeight="1">
      <c r="A317" s="4" t="s">
        <v>863</v>
      </c>
      <c r="B317" s="5" t="s">
        <v>864</v>
      </c>
      <c r="C317" s="5" t="s">
        <v>17</v>
      </c>
      <c r="D317" s="5" t="s">
        <v>18</v>
      </c>
      <c r="E317" s="5" t="s">
        <v>346</v>
      </c>
      <c r="F317" s="9">
        <v>21</v>
      </c>
      <c r="G317" s="9">
        <v>244</v>
      </c>
      <c r="H317" s="5" t="s">
        <v>20</v>
      </c>
      <c r="I317" s="5" t="s">
        <v>865</v>
      </c>
      <c r="J317" s="12" t="str">
        <f>HYPERLINK("https://www.boe.es/gazeta/dias/1807/03/03/pdfs/GMD-1807-21.pdf#page=8","Abrir facsímil")</f>
        <v>Abrir facsímil</v>
      </c>
      <c r="K317" s="15" t="s">
        <v>22</v>
      </c>
    </row>
    <row r="318" spans="1:11" ht="42" customHeight="1">
      <c r="A318" s="4" t="s">
        <v>866</v>
      </c>
      <c r="B318" s="5" t="s">
        <v>867</v>
      </c>
      <c r="C318" s="5" t="s">
        <v>34</v>
      </c>
      <c r="D318" s="5" t="s">
        <v>35</v>
      </c>
      <c r="E318" s="5" t="s">
        <v>30</v>
      </c>
      <c r="F318" s="9">
        <v>13</v>
      </c>
      <c r="G318" s="9">
        <v>149</v>
      </c>
      <c r="H318" s="5" t="s">
        <v>20</v>
      </c>
      <c r="I318" s="5" t="s">
        <v>868</v>
      </c>
      <c r="J318" s="12" t="str">
        <f>HYPERLINK("https://www.boe.es/gazeta/dias/1807/02/06/pdfs/GMD-1807-13.pdf#page=9","Abrir facsímil")</f>
        <v>Abrir facsímil</v>
      </c>
      <c r="K318" s="15" t="s">
        <v>22</v>
      </c>
    </row>
    <row r="319" spans="1:11" ht="42" customHeight="1">
      <c r="A319" s="4" t="s">
        <v>869</v>
      </c>
      <c r="B319" s="5" t="s">
        <v>870</v>
      </c>
      <c r="C319" s="5" t="s">
        <v>89</v>
      </c>
      <c r="D319" s="5" t="s">
        <v>90</v>
      </c>
      <c r="E319" s="5" t="s">
        <v>149</v>
      </c>
      <c r="F319" s="9">
        <v>38</v>
      </c>
      <c r="G319" s="9">
        <v>454</v>
      </c>
      <c r="H319" s="5" t="s">
        <v>20</v>
      </c>
      <c r="I319" s="5" t="s">
        <v>871</v>
      </c>
      <c r="J319" s="12" t="str">
        <f>HYPERLINK("https://www.boe.es/gazeta/dias/1807/05/01/pdfs/GMD-1807-38.pdf#page=10","Abrir facsímil")</f>
        <v>Abrir facsímil</v>
      </c>
      <c r="K319" s="15" t="s">
        <v>22</v>
      </c>
    </row>
    <row r="320" spans="1:11" ht="42" customHeight="1">
      <c r="A320" s="4" t="s">
        <v>872</v>
      </c>
      <c r="B320" s="5" t="s">
        <v>873</v>
      </c>
      <c r="C320" s="5" t="s">
        <v>24</v>
      </c>
      <c r="D320" s="5" t="s">
        <v>18</v>
      </c>
      <c r="E320" s="5" t="s">
        <v>53</v>
      </c>
      <c r="F320" s="9">
        <v>64</v>
      </c>
      <c r="G320" s="9">
        <v>749</v>
      </c>
      <c r="H320" s="5" t="s">
        <v>20</v>
      </c>
      <c r="I320" s="5" t="s">
        <v>874</v>
      </c>
      <c r="J320" s="12" t="str">
        <f>HYPERLINK("https://www.boe.es/gazeta/dias/1807/07/21/pdfs/GMD-1807-64.pdf#page=11","Abrir facsímil")</f>
        <v>Abrir facsímil</v>
      </c>
      <c r="K320" s="15" t="s">
        <v>22</v>
      </c>
    </row>
    <row r="321" spans="1:11" ht="42" customHeight="1">
      <c r="A321" s="4" t="s">
        <v>875</v>
      </c>
      <c r="B321" s="5" t="s">
        <v>876</v>
      </c>
      <c r="C321" s="5" t="s">
        <v>34</v>
      </c>
      <c r="D321" s="5" t="s">
        <v>35</v>
      </c>
      <c r="E321" s="5" t="s">
        <v>245</v>
      </c>
      <c r="F321" s="9">
        <v>97</v>
      </c>
      <c r="G321" s="9">
        <v>1128</v>
      </c>
      <c r="H321" s="5" t="s">
        <v>20</v>
      </c>
      <c r="I321" s="5" t="s">
        <v>877</v>
      </c>
      <c r="J321" s="12" t="str">
        <f>HYPERLINK("https://www.boe.es/gazeta/dias/1807/10/30/pdfs/GMD-1807-97.pdf#page=8","Abrir facsímil")</f>
        <v>Abrir facsímil</v>
      </c>
      <c r="K321" s="15" t="s">
        <v>22</v>
      </c>
    </row>
    <row r="322" spans="1:11" ht="42" customHeight="1">
      <c r="A322" s="4" t="s">
        <v>878</v>
      </c>
      <c r="B322" s="5" t="s">
        <v>879</v>
      </c>
      <c r="C322" s="5" t="s">
        <v>28</v>
      </c>
      <c r="D322" s="5" t="s">
        <v>29</v>
      </c>
      <c r="E322" s="5" t="s">
        <v>666</v>
      </c>
      <c r="F322" s="9">
        <v>43</v>
      </c>
      <c r="G322" s="9">
        <v>517</v>
      </c>
      <c r="H322" s="5" t="s">
        <v>20</v>
      </c>
      <c r="I322" s="5" t="s">
        <v>880</v>
      </c>
      <c r="J322" s="12" t="str">
        <f>HYPERLINK("https://www.boe.es/gazeta/dias/1807/05/19/pdfs/GMD-1807-43.pdf#page=11","Abrir facsímil")</f>
        <v>Abrir facsímil</v>
      </c>
      <c r="K322" s="15" t="s">
        <v>22</v>
      </c>
    </row>
    <row r="323" spans="1:11" ht="42" customHeight="1">
      <c r="A323" s="4" t="s">
        <v>881</v>
      </c>
      <c r="B323" s="5" t="s">
        <v>882</v>
      </c>
      <c r="C323" s="5" t="s">
        <v>34</v>
      </c>
      <c r="D323" s="5" t="s">
        <v>35</v>
      </c>
      <c r="E323" s="5" t="s">
        <v>186</v>
      </c>
      <c r="F323" s="9">
        <v>72</v>
      </c>
      <c r="G323" s="9">
        <v>829</v>
      </c>
      <c r="H323" s="5" t="s">
        <v>20</v>
      </c>
      <c r="I323" s="5" t="s">
        <v>883</v>
      </c>
      <c r="J323" s="12" t="str">
        <f>HYPERLINK("https://www.boe.es/gazeta/dias/1807/08/11/pdfs/GMD-1807-72.pdf#page=9","Abrir facsímil")</f>
        <v>Abrir facsímil</v>
      </c>
      <c r="K323" s="15" t="s">
        <v>22</v>
      </c>
    </row>
    <row r="324" spans="1:11" ht="42" customHeight="1">
      <c r="A324" s="4" t="s">
        <v>884</v>
      </c>
      <c r="B324" s="5" t="s">
        <v>885</v>
      </c>
      <c r="C324" s="5" t="s">
        <v>28</v>
      </c>
      <c r="D324" s="5" t="s">
        <v>29</v>
      </c>
      <c r="E324" s="5" t="s">
        <v>91</v>
      </c>
      <c r="F324" s="9">
        <v>109</v>
      </c>
      <c r="G324" s="9">
        <v>1274</v>
      </c>
      <c r="H324" s="5" t="s">
        <v>20</v>
      </c>
      <c r="I324" s="5" t="s">
        <v>886</v>
      </c>
      <c r="J324" s="12" t="str">
        <f>HYPERLINK("https://www.boe.es/gazeta/dias/1807/12/08/pdfs/GMD-1807-109.pdf#page=10","Abrir facsímil")</f>
        <v>Abrir facsímil</v>
      </c>
      <c r="K324" s="15" t="s">
        <v>22</v>
      </c>
    </row>
    <row r="325" spans="1:11" ht="42" customHeight="1">
      <c r="A325" s="4" t="s">
        <v>887</v>
      </c>
      <c r="B325" s="5" t="s">
        <v>888</v>
      </c>
      <c r="C325" s="5" t="s">
        <v>49</v>
      </c>
      <c r="D325" s="5" t="s">
        <v>50</v>
      </c>
      <c r="E325" s="5" t="s">
        <v>79</v>
      </c>
      <c r="F325" s="9">
        <v>11</v>
      </c>
      <c r="G325" s="9">
        <v>122</v>
      </c>
      <c r="H325" s="5" t="s">
        <v>20</v>
      </c>
      <c r="I325" s="5" t="s">
        <v>889</v>
      </c>
      <c r="J325" s="12" t="str">
        <f>HYPERLINK("https://www.boe.es/gazeta/dias/1807/01/30/pdfs/GMD-1807-11.pdf#page=6","Abrir facsímil")</f>
        <v>Abrir facsímil</v>
      </c>
      <c r="K325" s="15" t="s">
        <v>22</v>
      </c>
    </row>
    <row r="326" spans="1:11" ht="42" customHeight="1">
      <c r="A326" s="4" t="s">
        <v>890</v>
      </c>
      <c r="B326" s="5" t="s">
        <v>891</v>
      </c>
      <c r="C326" s="5" t="s">
        <v>28</v>
      </c>
      <c r="D326" s="5" t="s">
        <v>29</v>
      </c>
      <c r="E326" s="5" t="s">
        <v>42</v>
      </c>
      <c r="F326" s="9">
        <v>31</v>
      </c>
      <c r="G326" s="9">
        <v>367</v>
      </c>
      <c r="H326" s="5" t="s">
        <v>20</v>
      </c>
      <c r="I326" s="5" t="s">
        <v>892</v>
      </c>
      <c r="J326" s="12" t="str">
        <f>HYPERLINK("https://www.boe.es/gazeta/dias/1807/04/07/pdfs/GMD-1807-31.pdf#page=7","Abrir facsímil")</f>
        <v>Abrir facsímil</v>
      </c>
      <c r="K326" s="15" t="s">
        <v>22</v>
      </c>
    </row>
    <row r="327" spans="1:11" ht="42" customHeight="1">
      <c r="A327" s="4" t="s">
        <v>893</v>
      </c>
      <c r="B327" s="5" t="s">
        <v>894</v>
      </c>
      <c r="C327" s="5" t="s">
        <v>28</v>
      </c>
      <c r="D327" s="5" t="s">
        <v>29</v>
      </c>
      <c r="E327" s="5" t="s">
        <v>215</v>
      </c>
      <c r="F327" s="9">
        <v>5</v>
      </c>
      <c r="G327" s="9">
        <v>56</v>
      </c>
      <c r="H327" s="5" t="s">
        <v>20</v>
      </c>
      <c r="I327" s="5" t="s">
        <v>895</v>
      </c>
      <c r="J327" s="12" t="str">
        <f>HYPERLINK("https://www.boe.es/gazeta/dias/1807/01/16/pdfs/GMD-1807-5.pdf#page=12","Abrir facsímil")</f>
        <v>Abrir facsímil</v>
      </c>
      <c r="K327" s="15" t="s">
        <v>22</v>
      </c>
    </row>
    <row r="328" spans="1:11" ht="42" customHeight="1">
      <c r="A328" s="4" t="s">
        <v>896</v>
      </c>
      <c r="B328" s="5" t="s">
        <v>897</v>
      </c>
      <c r="C328" s="5" t="s">
        <v>34</v>
      </c>
      <c r="D328" s="5" t="s">
        <v>35</v>
      </c>
      <c r="E328" s="5" t="s">
        <v>40</v>
      </c>
      <c r="F328" s="9">
        <v>26</v>
      </c>
      <c r="G328" s="9">
        <v>312</v>
      </c>
      <c r="H328" s="5" t="s">
        <v>20</v>
      </c>
      <c r="I328" s="5" t="s">
        <v>898</v>
      </c>
      <c r="J328" s="12" t="str">
        <f>HYPERLINK("https://www.boe.es/gazeta/dias/1807/03/20/pdfs/GMD-1807-26.pdf#page=8","Abrir facsímil")</f>
        <v>Abrir facsímil</v>
      </c>
      <c r="K328" s="15" t="s">
        <v>22</v>
      </c>
    </row>
    <row r="329" spans="1:11" ht="42" customHeight="1">
      <c r="A329" s="4" t="s">
        <v>899</v>
      </c>
      <c r="B329" s="5" t="s">
        <v>899</v>
      </c>
      <c r="C329" s="5" t="s">
        <v>34</v>
      </c>
      <c r="D329" s="5" t="s">
        <v>35</v>
      </c>
      <c r="E329" s="5" t="s">
        <v>567</v>
      </c>
      <c r="F329" s="9">
        <v>55</v>
      </c>
      <c r="G329" s="9">
        <v>653</v>
      </c>
      <c r="H329" s="5" t="s">
        <v>20</v>
      </c>
      <c r="I329" s="5" t="s">
        <v>900</v>
      </c>
      <c r="J329" s="12" t="str">
        <f>HYPERLINK("https://www.boe.es/gazeta/dias/1807/06/30/pdfs/GMD-1807-55.pdf#page=3","Abrir facsímil")</f>
        <v>Abrir facsímil</v>
      </c>
      <c r="K329" s="15" t="s">
        <v>22</v>
      </c>
    </row>
    <row r="330" spans="1:11" ht="42" customHeight="1">
      <c r="A330" s="4" t="s">
        <v>901</v>
      </c>
      <c r="B330" s="5" t="s">
        <v>902</v>
      </c>
      <c r="C330" s="5" t="s">
        <v>49</v>
      </c>
      <c r="D330" s="5" t="s">
        <v>50</v>
      </c>
      <c r="E330" s="5" t="s">
        <v>471</v>
      </c>
      <c r="F330" s="9">
        <v>51</v>
      </c>
      <c r="G330" s="9">
        <v>602</v>
      </c>
      <c r="H330" s="5" t="s">
        <v>20</v>
      </c>
      <c r="I330" s="5" t="s">
        <v>903</v>
      </c>
      <c r="J330" s="12" t="str">
        <f>HYPERLINK("https://www.boe.es/gazeta/dias/1807/06/16/pdfs/GMD-1807-51.pdf#page=4","Abrir facsímil")</f>
        <v>Abrir facsímil</v>
      </c>
      <c r="K330" s="15" t="s">
        <v>22</v>
      </c>
    </row>
    <row r="331" spans="1:11" ht="42" customHeight="1">
      <c r="A331" s="4" t="s">
        <v>904</v>
      </c>
      <c r="B331" s="5" t="s">
        <v>905</v>
      </c>
      <c r="C331" s="5" t="s">
        <v>17</v>
      </c>
      <c r="D331" s="5" t="s">
        <v>18</v>
      </c>
      <c r="E331" s="5" t="s">
        <v>167</v>
      </c>
      <c r="F331" s="9">
        <v>77</v>
      </c>
      <c r="G331" s="9">
        <v>891</v>
      </c>
      <c r="H331" s="5" t="s">
        <v>20</v>
      </c>
      <c r="I331" s="5" t="s">
        <v>906</v>
      </c>
      <c r="J331" s="12" t="str">
        <f>HYPERLINK("https://www.boe.es/gazeta/dias/1807/08/28/pdfs/GMD-1807-77.pdf#page=7","Abrir facsímil")</f>
        <v>Abrir facsímil</v>
      </c>
      <c r="K331" s="15" t="s">
        <v>22</v>
      </c>
    </row>
    <row r="332" spans="1:11" ht="42" customHeight="1">
      <c r="A332" s="4" t="s">
        <v>907</v>
      </c>
      <c r="B332" s="5" t="s">
        <v>908</v>
      </c>
      <c r="C332" s="5" t="s">
        <v>28</v>
      </c>
      <c r="D332" s="5" t="s">
        <v>29</v>
      </c>
      <c r="E332" s="5" t="s">
        <v>581</v>
      </c>
      <c r="F332" s="9">
        <v>71</v>
      </c>
      <c r="G332" s="9">
        <v>815</v>
      </c>
      <c r="H332" s="5" t="s">
        <v>20</v>
      </c>
      <c r="I332" s="5" t="s">
        <v>909</v>
      </c>
      <c r="J332" s="12" t="str">
        <f>HYPERLINK("https://www.boe.es/gazeta/dias/1807/08/07/pdfs/GMD-1807-71.pdf#page=7","Abrir facsímil")</f>
        <v>Abrir facsímil</v>
      </c>
      <c r="K332" s="15" t="s">
        <v>22</v>
      </c>
    </row>
    <row r="333" spans="1:11" ht="42" customHeight="1">
      <c r="A333" s="4" t="s">
        <v>910</v>
      </c>
      <c r="B333" s="5" t="s">
        <v>911</v>
      </c>
      <c r="C333" s="5" t="s">
        <v>34</v>
      </c>
      <c r="D333" s="5" t="s">
        <v>35</v>
      </c>
      <c r="E333" s="5" t="s">
        <v>464</v>
      </c>
      <c r="F333" s="9">
        <v>18</v>
      </c>
      <c r="G333" s="9">
        <v>212</v>
      </c>
      <c r="H333" s="5" t="s">
        <v>20</v>
      </c>
      <c r="I333" s="5" t="s">
        <v>912</v>
      </c>
      <c r="J333" s="12" t="str">
        <f>HYPERLINK("https://www.boe.es/gazeta/dias/1807/02/24/pdfs/GMD-1807-18.pdf#page=12","Abrir facsímil")</f>
        <v>Abrir facsímil</v>
      </c>
      <c r="K333" s="15" t="s">
        <v>22</v>
      </c>
    </row>
    <row r="334" spans="1:11" ht="42" customHeight="1">
      <c r="A334" s="4" t="s">
        <v>913</v>
      </c>
      <c r="B334" s="5" t="s">
        <v>913</v>
      </c>
      <c r="C334" s="5" t="s">
        <v>24</v>
      </c>
      <c r="D334" s="5" t="s">
        <v>18</v>
      </c>
      <c r="E334" s="5" t="s">
        <v>296</v>
      </c>
      <c r="F334" s="9">
        <v>102</v>
      </c>
      <c r="G334" s="9">
        <v>1189</v>
      </c>
      <c r="H334" s="5" t="s">
        <v>20</v>
      </c>
      <c r="I334" s="5" t="s">
        <v>914</v>
      </c>
      <c r="J334" s="12" t="str">
        <f>HYPERLINK("https://www.boe.es/gazeta/dias/1807/11/17/pdfs/GMD-1807-102.pdf#page=9","Abrir facsímil")</f>
        <v>Abrir facsímil</v>
      </c>
      <c r="K334" s="15" t="s">
        <v>22</v>
      </c>
    </row>
    <row r="335" spans="1:11" ht="42" customHeight="1">
      <c r="A335" s="4" t="s">
        <v>915</v>
      </c>
      <c r="B335" s="5" t="s">
        <v>915</v>
      </c>
      <c r="C335" s="5" t="s">
        <v>34</v>
      </c>
      <c r="D335" s="5" t="s">
        <v>35</v>
      </c>
      <c r="E335" s="5" t="s">
        <v>62</v>
      </c>
      <c r="F335" s="9">
        <v>68</v>
      </c>
      <c r="G335" s="9">
        <v>783</v>
      </c>
      <c r="H335" s="5" t="s">
        <v>20</v>
      </c>
      <c r="I335" s="5" t="s">
        <v>916</v>
      </c>
      <c r="J335" s="12" t="str">
        <f>HYPERLINK("https://www.boe.es/gazeta/dias/1807/07/31/pdfs/GMD-1807-68.pdf#page=7","Abrir facsímil")</f>
        <v>Abrir facsímil</v>
      </c>
      <c r="K335" s="15" t="s">
        <v>22</v>
      </c>
    </row>
    <row r="336" spans="1:11" ht="42" customHeight="1">
      <c r="A336" s="4" t="s">
        <v>917</v>
      </c>
      <c r="B336" s="5" t="s">
        <v>918</v>
      </c>
      <c r="C336" s="5" t="s">
        <v>252</v>
      </c>
      <c r="D336" s="5" t="s">
        <v>253</v>
      </c>
      <c r="E336" s="5" t="s">
        <v>534</v>
      </c>
      <c r="F336" s="9" t="s">
        <v>535</v>
      </c>
      <c r="G336" s="9">
        <v>102</v>
      </c>
      <c r="H336" s="5" t="s">
        <v>20</v>
      </c>
      <c r="I336" s="5" t="s">
        <v>919</v>
      </c>
      <c r="J336" s="12" t="str">
        <f>HYPERLINK("https://www.boe.es/gazeta/dias/1807/01/24/pdfs/GMD-1807-9E.pdf#page=6","Abrir facsímil")</f>
        <v>Abrir facsímil</v>
      </c>
      <c r="K336" s="15" t="s">
        <v>22</v>
      </c>
    </row>
    <row r="337" spans="1:11" ht="42" customHeight="1">
      <c r="A337" s="4" t="s">
        <v>920</v>
      </c>
      <c r="B337" s="5" t="s">
        <v>921</v>
      </c>
      <c r="C337" s="5" t="s">
        <v>24</v>
      </c>
      <c r="D337" s="5" t="s">
        <v>18</v>
      </c>
      <c r="E337" s="5" t="s">
        <v>42</v>
      </c>
      <c r="F337" s="9">
        <v>31</v>
      </c>
      <c r="G337" s="9">
        <v>371</v>
      </c>
      <c r="H337" s="5" t="s">
        <v>20</v>
      </c>
      <c r="I337" s="5" t="s">
        <v>922</v>
      </c>
      <c r="J337" s="12" t="str">
        <f>HYPERLINK("https://www.boe.es/gazeta/dias/1807/04/07/pdfs/GMD-1807-31.pdf#page=11","Abrir facsímil")</f>
        <v>Abrir facsímil</v>
      </c>
      <c r="K337" s="15" t="s">
        <v>22</v>
      </c>
    </row>
    <row r="338" spans="1:11" ht="42" customHeight="1">
      <c r="A338" s="4" t="s">
        <v>920</v>
      </c>
      <c r="B338" s="5" t="s">
        <v>921</v>
      </c>
      <c r="C338" s="5" t="s">
        <v>24</v>
      </c>
      <c r="D338" s="5" t="s">
        <v>18</v>
      </c>
      <c r="E338" s="5" t="s">
        <v>471</v>
      </c>
      <c r="F338" s="9">
        <v>51</v>
      </c>
      <c r="G338" s="9">
        <v>608</v>
      </c>
      <c r="H338" s="5" t="s">
        <v>20</v>
      </c>
      <c r="I338" s="5" t="s">
        <v>923</v>
      </c>
      <c r="J338" s="12" t="str">
        <f>HYPERLINK("https://www.boe.es/gazeta/dias/1807/06/16/pdfs/GMD-1807-51.pdf#page=10","Abrir facsímil")</f>
        <v>Abrir facsímil</v>
      </c>
      <c r="K338" s="15" t="s">
        <v>22</v>
      </c>
    </row>
    <row r="339" spans="1:11" ht="42" customHeight="1">
      <c r="A339" s="4" t="s">
        <v>924</v>
      </c>
      <c r="B339" s="5" t="s">
        <v>924</v>
      </c>
      <c r="C339" s="5" t="s">
        <v>28</v>
      </c>
      <c r="D339" s="5" t="s">
        <v>29</v>
      </c>
      <c r="E339" s="5" t="s">
        <v>156</v>
      </c>
      <c r="F339" s="9">
        <v>74</v>
      </c>
      <c r="G339" s="9">
        <v>859</v>
      </c>
      <c r="H339" s="5" t="s">
        <v>20</v>
      </c>
      <c r="I339" s="5" t="s">
        <v>925</v>
      </c>
      <c r="J339" s="12" t="str">
        <f>HYPERLINK("https://www.boe.es/gazeta/dias/1807/08/18/pdfs/GMD-1807-74.pdf#page=11","Abrir facsímil")</f>
        <v>Abrir facsímil</v>
      </c>
      <c r="K339" s="15" t="s">
        <v>22</v>
      </c>
    </row>
    <row r="340" spans="1:11" ht="42" customHeight="1">
      <c r="A340" s="4" t="s">
        <v>926</v>
      </c>
      <c r="B340" s="5" t="s">
        <v>927</v>
      </c>
      <c r="C340" s="5" t="s">
        <v>49</v>
      </c>
      <c r="D340" s="5" t="s">
        <v>50</v>
      </c>
      <c r="E340" s="5" t="s">
        <v>79</v>
      </c>
      <c r="F340" s="9">
        <v>11</v>
      </c>
      <c r="G340" s="9">
        <v>120</v>
      </c>
      <c r="H340" s="5" t="s">
        <v>20</v>
      </c>
      <c r="I340" s="5" t="s">
        <v>928</v>
      </c>
      <c r="J340" s="12" t="str">
        <f>HYPERLINK("https://www.boe.es/gazeta/dias/1807/01/30/pdfs/GMD-1807-11.pdf#page=4","Abrir facsímil")</f>
        <v>Abrir facsímil</v>
      </c>
      <c r="K340" s="15" t="s">
        <v>22</v>
      </c>
    </row>
    <row r="341" spans="1:11" ht="42" customHeight="1">
      <c r="A341" s="4" t="s">
        <v>926</v>
      </c>
      <c r="B341" s="5" t="s">
        <v>927</v>
      </c>
      <c r="C341" s="5" t="s">
        <v>17</v>
      </c>
      <c r="D341" s="5" t="s">
        <v>18</v>
      </c>
      <c r="E341" s="5" t="s">
        <v>929</v>
      </c>
      <c r="F341" s="9">
        <v>85</v>
      </c>
      <c r="G341" s="9">
        <v>988</v>
      </c>
      <c r="H341" s="5" t="s">
        <v>20</v>
      </c>
      <c r="I341" s="5" t="s">
        <v>930</v>
      </c>
      <c r="J341" s="12" t="str">
        <f>HYPERLINK("https://www.boe.es/gazeta/dias/1807/09/25/pdfs/GMD-1807-85.pdf#page=4","Abrir facsímil")</f>
        <v>Abrir facsímil</v>
      </c>
      <c r="K341" s="15" t="s">
        <v>22</v>
      </c>
    </row>
    <row r="342" spans="1:11" ht="42" customHeight="1">
      <c r="A342" s="4" t="s">
        <v>926</v>
      </c>
      <c r="B342" s="5" t="s">
        <v>927</v>
      </c>
      <c r="C342" s="5" t="s">
        <v>28</v>
      </c>
      <c r="D342" s="5" t="s">
        <v>29</v>
      </c>
      <c r="E342" s="5" t="s">
        <v>327</v>
      </c>
      <c r="F342" s="9">
        <v>108</v>
      </c>
      <c r="G342" s="9">
        <v>1258</v>
      </c>
      <c r="H342" s="5" t="s">
        <v>20</v>
      </c>
      <c r="I342" s="5" t="s">
        <v>931</v>
      </c>
      <c r="J342" s="12" t="str">
        <f>HYPERLINK("https://www.boe.es/gazeta/dias/1807/12/04/pdfs/GMD-1807-108.pdf#page=6","Abrir facsímil")</f>
        <v>Abrir facsímil</v>
      </c>
      <c r="K342" s="15" t="s">
        <v>22</v>
      </c>
    </row>
    <row r="343" spans="1:11" ht="42" customHeight="1">
      <c r="A343" s="4" t="s">
        <v>932</v>
      </c>
      <c r="B343" s="5" t="s">
        <v>933</v>
      </c>
      <c r="C343" s="5" t="s">
        <v>252</v>
      </c>
      <c r="D343" s="5" t="s">
        <v>253</v>
      </c>
      <c r="E343" s="5" t="s">
        <v>534</v>
      </c>
      <c r="F343" s="9" t="s">
        <v>535</v>
      </c>
      <c r="G343" s="9">
        <v>99</v>
      </c>
      <c r="H343" s="5" t="s">
        <v>20</v>
      </c>
      <c r="I343" s="5" t="s">
        <v>934</v>
      </c>
      <c r="J343" s="12" t="str">
        <f>HYPERLINK("https://www.boe.es/gazeta/dias/1807/01/24/pdfs/GMD-1807-9E.pdf#page=3","Abrir facsímil")</f>
        <v>Abrir facsímil</v>
      </c>
      <c r="K343" s="15" t="s">
        <v>22</v>
      </c>
    </row>
    <row r="344" spans="1:11" ht="42" customHeight="1">
      <c r="A344" s="4" t="s">
        <v>935</v>
      </c>
      <c r="B344" s="5" t="s">
        <v>936</v>
      </c>
      <c r="C344" s="5" t="s">
        <v>28</v>
      </c>
      <c r="D344" s="5" t="s">
        <v>29</v>
      </c>
      <c r="E344" s="5" t="s">
        <v>259</v>
      </c>
      <c r="F344" s="9">
        <v>3</v>
      </c>
      <c r="G344" s="9">
        <v>26</v>
      </c>
      <c r="H344" s="5" t="s">
        <v>20</v>
      </c>
      <c r="I344" s="5" t="s">
        <v>937</v>
      </c>
      <c r="J344" s="12" t="str">
        <f>HYPERLINK("https://www.boe.es/gazeta/dias/1807/01/09/pdfs/GMD-1807-3.pdf#page=6","Abrir facsímil")</f>
        <v>Abrir facsímil</v>
      </c>
      <c r="K344" s="15" t="s">
        <v>22</v>
      </c>
    </row>
    <row r="345" spans="1:11" ht="42" customHeight="1">
      <c r="A345" s="4" t="s">
        <v>938</v>
      </c>
      <c r="B345" s="5" t="s">
        <v>939</v>
      </c>
      <c r="C345" s="5" t="s">
        <v>24</v>
      </c>
      <c r="D345" s="5" t="s">
        <v>18</v>
      </c>
      <c r="E345" s="5" t="s">
        <v>464</v>
      </c>
      <c r="F345" s="9">
        <v>18</v>
      </c>
      <c r="G345" s="9">
        <v>212</v>
      </c>
      <c r="H345" s="5" t="s">
        <v>20</v>
      </c>
      <c r="I345" s="5" t="s">
        <v>940</v>
      </c>
      <c r="J345" s="12" t="str">
        <f>HYPERLINK("https://www.boe.es/gazeta/dias/1807/02/24/pdfs/GMD-1807-18.pdf#page=12","Abrir facsímil")</f>
        <v>Abrir facsímil</v>
      </c>
      <c r="K345" s="15" t="s">
        <v>22</v>
      </c>
    </row>
    <row r="346" spans="1:11" ht="42" customHeight="1">
      <c r="A346" s="4" t="s">
        <v>941</v>
      </c>
      <c r="B346" s="5" t="s">
        <v>942</v>
      </c>
      <c r="C346" s="5" t="s">
        <v>34</v>
      </c>
      <c r="D346" s="5" t="s">
        <v>35</v>
      </c>
      <c r="E346" s="5" t="s">
        <v>114</v>
      </c>
      <c r="F346" s="9">
        <v>46</v>
      </c>
      <c r="G346" s="9">
        <v>548</v>
      </c>
      <c r="H346" s="5" t="s">
        <v>20</v>
      </c>
      <c r="I346" s="5" t="s">
        <v>943</v>
      </c>
      <c r="J346" s="12" t="str">
        <f>HYPERLINK("https://www.boe.es/gazeta/dias/1807/05/29/pdfs/GMD-1807-46.pdf#page=6","Abrir facsímil")</f>
        <v>Abrir facsímil</v>
      </c>
      <c r="K346" s="15" t="s">
        <v>22</v>
      </c>
    </row>
    <row r="347" spans="1:11" ht="42" customHeight="1">
      <c r="A347" s="4" t="s">
        <v>944</v>
      </c>
      <c r="B347" s="5" t="s">
        <v>945</v>
      </c>
      <c r="C347" s="5" t="s">
        <v>34</v>
      </c>
      <c r="D347" s="5" t="s">
        <v>35</v>
      </c>
      <c r="E347" s="5" t="s">
        <v>464</v>
      </c>
      <c r="F347" s="9">
        <v>18</v>
      </c>
      <c r="G347" s="9">
        <v>206</v>
      </c>
      <c r="H347" s="5" t="s">
        <v>20</v>
      </c>
      <c r="I347" s="5" t="s">
        <v>946</v>
      </c>
      <c r="J347" s="12" t="str">
        <f>HYPERLINK("https://www.boe.es/gazeta/dias/1807/02/24/pdfs/GMD-1807-18.pdf#page=6","Abrir facsímil")</f>
        <v>Abrir facsímil</v>
      </c>
      <c r="K347" s="15" t="s">
        <v>22</v>
      </c>
    </row>
    <row r="348" spans="1:11" ht="42" customHeight="1">
      <c r="A348" s="4" t="s">
        <v>947</v>
      </c>
      <c r="B348" s="5" t="s">
        <v>947</v>
      </c>
      <c r="C348" s="5" t="s">
        <v>89</v>
      </c>
      <c r="D348" s="5" t="s">
        <v>90</v>
      </c>
      <c r="E348" s="5" t="s">
        <v>79</v>
      </c>
      <c r="F348" s="9">
        <v>11</v>
      </c>
      <c r="G348" s="9">
        <v>128</v>
      </c>
      <c r="H348" s="5" t="s">
        <v>20</v>
      </c>
      <c r="I348" s="5" t="s">
        <v>948</v>
      </c>
      <c r="J348" s="12" t="str">
        <f>HYPERLINK("https://www.boe.es/gazeta/dias/1807/01/30/pdfs/GMD-1807-11.pdf#page=12","Abrir facsímil")</f>
        <v>Abrir facsímil</v>
      </c>
      <c r="K348" s="15" t="s">
        <v>22</v>
      </c>
    </row>
    <row r="349" spans="1:11" ht="42" customHeight="1">
      <c r="A349" s="4" t="s">
        <v>949</v>
      </c>
      <c r="B349" s="5" t="s">
        <v>950</v>
      </c>
      <c r="C349" s="5" t="s">
        <v>252</v>
      </c>
      <c r="D349" s="5" t="s">
        <v>253</v>
      </c>
      <c r="E349" s="5" t="s">
        <v>534</v>
      </c>
      <c r="F349" s="9" t="s">
        <v>535</v>
      </c>
      <c r="G349" s="9">
        <v>99</v>
      </c>
      <c r="H349" s="5" t="s">
        <v>20</v>
      </c>
      <c r="I349" s="5" t="s">
        <v>951</v>
      </c>
      <c r="J349" s="12" t="str">
        <f>HYPERLINK("https://www.boe.es/gazeta/dias/1807/01/24/pdfs/GMD-1807-9E.pdf#page=3","Abrir facsímil")</f>
        <v>Abrir facsímil</v>
      </c>
      <c r="K349" s="15" t="s">
        <v>22</v>
      </c>
    </row>
    <row r="350" spans="1:11" ht="42" customHeight="1">
      <c r="A350" s="4" t="s">
        <v>952</v>
      </c>
      <c r="B350" s="5" t="s">
        <v>953</v>
      </c>
      <c r="C350" s="5" t="s">
        <v>17</v>
      </c>
      <c r="D350" s="5" t="s">
        <v>18</v>
      </c>
      <c r="E350" s="5" t="s">
        <v>507</v>
      </c>
      <c r="F350" s="9">
        <v>48</v>
      </c>
      <c r="G350" s="9">
        <v>570</v>
      </c>
      <c r="H350" s="5" t="s">
        <v>20</v>
      </c>
      <c r="I350" s="5" t="s">
        <v>954</v>
      </c>
      <c r="J350" s="12" t="str">
        <f>HYPERLINK("https://www.boe.es/gazeta/dias/1807/06/05/pdfs/GMD-1807-48.pdf#page=8","Abrir facsímil")</f>
        <v>Abrir facsímil</v>
      </c>
      <c r="K350" s="15" t="s">
        <v>22</v>
      </c>
    </row>
    <row r="351" spans="1:11" ht="42" customHeight="1">
      <c r="A351" s="4" t="s">
        <v>955</v>
      </c>
      <c r="B351" s="5" t="s">
        <v>956</v>
      </c>
      <c r="C351" s="5" t="s">
        <v>17</v>
      </c>
      <c r="D351" s="5" t="s">
        <v>18</v>
      </c>
      <c r="E351" s="5" t="s">
        <v>305</v>
      </c>
      <c r="F351" s="9">
        <v>53</v>
      </c>
      <c r="G351" s="9">
        <v>634</v>
      </c>
      <c r="H351" s="5" t="s">
        <v>20</v>
      </c>
      <c r="I351" s="5" t="s">
        <v>957</v>
      </c>
      <c r="J351" s="12" t="str">
        <f>HYPERLINK("https://www.boe.es/gazeta/dias/1807/06/23/pdfs/GMD-1807-53.pdf#page=8","Abrir facsímil")</f>
        <v>Abrir facsímil</v>
      </c>
      <c r="K351" s="15" t="s">
        <v>22</v>
      </c>
    </row>
    <row r="352" spans="1:11" ht="42" customHeight="1">
      <c r="A352" s="4" t="s">
        <v>958</v>
      </c>
      <c r="B352" s="5" t="s">
        <v>959</v>
      </c>
      <c r="C352" s="5" t="s">
        <v>34</v>
      </c>
      <c r="D352" s="5" t="s">
        <v>35</v>
      </c>
      <c r="E352" s="5" t="s">
        <v>53</v>
      </c>
      <c r="F352" s="9">
        <v>64</v>
      </c>
      <c r="G352" s="9">
        <v>747</v>
      </c>
      <c r="H352" s="5" t="s">
        <v>20</v>
      </c>
      <c r="I352" s="5" t="s">
        <v>960</v>
      </c>
      <c r="J352" s="12" t="str">
        <f>HYPERLINK("https://www.boe.es/gazeta/dias/1807/07/21/pdfs/GMD-1807-64.pdf#page=9","Abrir facsímil")</f>
        <v>Abrir facsímil</v>
      </c>
      <c r="K352" s="15" t="s">
        <v>22</v>
      </c>
    </row>
    <row r="353" spans="1:11" ht="42" customHeight="1">
      <c r="A353" s="4" t="s">
        <v>961</v>
      </c>
      <c r="B353" s="5" t="s">
        <v>961</v>
      </c>
      <c r="C353" s="5" t="s">
        <v>49</v>
      </c>
      <c r="D353" s="5" t="s">
        <v>50</v>
      </c>
      <c r="E353" s="5" t="s">
        <v>208</v>
      </c>
      <c r="F353" s="9">
        <v>42</v>
      </c>
      <c r="G353" s="9">
        <v>498</v>
      </c>
      <c r="H353" s="5" t="s">
        <v>20</v>
      </c>
      <c r="I353" s="5" t="s">
        <v>962</v>
      </c>
      <c r="J353" s="12" t="str">
        <f>HYPERLINK("https://www.boe.es/gazeta/dias/1807/05/15/pdfs/GMD-1807-42.pdf#page=4","Abrir facsímil")</f>
        <v>Abrir facsímil</v>
      </c>
      <c r="K353" s="15" t="s">
        <v>22</v>
      </c>
    </row>
    <row r="354" spans="1:11" ht="42" customHeight="1">
      <c r="A354" s="4" t="s">
        <v>963</v>
      </c>
      <c r="B354" s="5" t="s">
        <v>964</v>
      </c>
      <c r="C354" s="5" t="s">
        <v>17</v>
      </c>
      <c r="D354" s="5" t="s">
        <v>18</v>
      </c>
      <c r="E354" s="5" t="s">
        <v>51</v>
      </c>
      <c r="F354" s="9">
        <v>62</v>
      </c>
      <c r="G354" s="9">
        <v>732</v>
      </c>
      <c r="H354" s="5" t="s">
        <v>20</v>
      </c>
      <c r="I354" s="5" t="s">
        <v>965</v>
      </c>
      <c r="J354" s="12" t="str">
        <f>HYPERLINK("https://www.boe.es/gazeta/dias/1807/07/17/pdfs/GMD-1807-62.pdf#page=6","Abrir facsímil")</f>
        <v>Abrir facsímil</v>
      </c>
      <c r="K354" s="15" t="s">
        <v>22</v>
      </c>
    </row>
    <row r="355" spans="1:11" ht="42" customHeight="1">
      <c r="A355" s="4" t="s">
        <v>966</v>
      </c>
      <c r="B355" s="5" t="s">
        <v>966</v>
      </c>
      <c r="C355" s="5" t="s">
        <v>34</v>
      </c>
      <c r="D355" s="5" t="s">
        <v>35</v>
      </c>
      <c r="E355" s="5" t="s">
        <v>46</v>
      </c>
      <c r="F355" s="9">
        <v>78</v>
      </c>
      <c r="G355" s="9">
        <v>904</v>
      </c>
      <c r="H355" s="5" t="s">
        <v>20</v>
      </c>
      <c r="I355" s="5" t="s">
        <v>967</v>
      </c>
      <c r="J355" s="12" t="str">
        <f>HYPERLINK("https://www.boe.es/gazeta/dias/1807/09/01/pdfs/GMD-1807-78.pdf#page=8","Abrir facsímil")</f>
        <v>Abrir facsímil</v>
      </c>
      <c r="K355" s="15" t="s">
        <v>22</v>
      </c>
    </row>
    <row r="356" spans="1:11" ht="42" customHeight="1">
      <c r="A356" s="4" t="s">
        <v>968</v>
      </c>
      <c r="B356" s="5" t="s">
        <v>969</v>
      </c>
      <c r="C356" s="5" t="s">
        <v>28</v>
      </c>
      <c r="D356" s="5" t="s">
        <v>29</v>
      </c>
      <c r="E356" s="5" t="s">
        <v>319</v>
      </c>
      <c r="F356" s="9">
        <v>54</v>
      </c>
      <c r="G356" s="9">
        <v>645</v>
      </c>
      <c r="H356" s="5" t="s">
        <v>20</v>
      </c>
      <c r="I356" s="5" t="s">
        <v>970</v>
      </c>
      <c r="J356" s="12" t="str">
        <f>HYPERLINK("https://www.boe.es/gazeta/dias/1807/06/26/pdfs/GMD-1807-54.pdf#page=7","Abrir facsímil")</f>
        <v>Abrir facsímil</v>
      </c>
      <c r="K356" s="15" t="s">
        <v>22</v>
      </c>
    </row>
    <row r="357" spans="1:11" ht="42" customHeight="1">
      <c r="A357" s="4" t="s">
        <v>971</v>
      </c>
      <c r="B357" s="5" t="s">
        <v>972</v>
      </c>
      <c r="C357" s="5" t="s">
        <v>49</v>
      </c>
      <c r="D357" s="5" t="s">
        <v>50</v>
      </c>
      <c r="E357" s="5" t="s">
        <v>572</v>
      </c>
      <c r="F357" s="9">
        <v>14</v>
      </c>
      <c r="G357" s="9">
        <v>158</v>
      </c>
      <c r="H357" s="5" t="s">
        <v>20</v>
      </c>
      <c r="I357" s="5" t="s">
        <v>973</v>
      </c>
      <c r="J357" s="12" t="str">
        <f>HYPERLINK("https://www.boe.es/gazeta/dias/1807/02/10/pdfs/GMD-1807-14.pdf#page=6","Abrir facsímil")</f>
        <v>Abrir facsímil</v>
      </c>
      <c r="K357" s="15" t="s">
        <v>22</v>
      </c>
    </row>
    <row r="358" spans="1:11" ht="42" customHeight="1">
      <c r="A358" s="4" t="s">
        <v>974</v>
      </c>
      <c r="B358" s="5" t="s">
        <v>975</v>
      </c>
      <c r="C358" s="5" t="s">
        <v>49</v>
      </c>
      <c r="D358" s="5" t="s">
        <v>50</v>
      </c>
      <c r="E358" s="5" t="s">
        <v>259</v>
      </c>
      <c r="F358" s="9">
        <v>3</v>
      </c>
      <c r="G358" s="9">
        <v>23</v>
      </c>
      <c r="H358" s="5" t="s">
        <v>20</v>
      </c>
      <c r="I358" s="5" t="s">
        <v>976</v>
      </c>
      <c r="J358" s="12" t="str">
        <f>HYPERLINK("https://www.boe.es/gazeta/dias/1807/01/09/pdfs/GMD-1807-3.pdf#page=3","Abrir facsímil")</f>
        <v>Abrir facsímil</v>
      </c>
      <c r="K358" s="15" t="s">
        <v>22</v>
      </c>
    </row>
    <row r="359" spans="1:11" ht="42" customHeight="1">
      <c r="A359" s="4" t="s">
        <v>974</v>
      </c>
      <c r="B359" s="5" t="s">
        <v>975</v>
      </c>
      <c r="C359" s="5" t="s">
        <v>89</v>
      </c>
      <c r="D359" s="5" t="s">
        <v>90</v>
      </c>
      <c r="E359" s="5" t="s">
        <v>534</v>
      </c>
      <c r="F359" s="9" t="s">
        <v>535</v>
      </c>
      <c r="G359" s="9">
        <v>98</v>
      </c>
      <c r="H359" s="5" t="s">
        <v>20</v>
      </c>
      <c r="I359" s="5" t="s">
        <v>977</v>
      </c>
      <c r="J359" s="12" t="str">
        <f>HYPERLINK("https://www.boe.es/gazeta/dias/1807/01/24/pdfs/GMD-1807-9E.pdf#page=2","Abrir facsímil")</f>
        <v>Abrir facsímil</v>
      </c>
      <c r="K359" s="15" t="s">
        <v>22</v>
      </c>
    </row>
    <row r="360" spans="1:11" ht="42" customHeight="1">
      <c r="A360" s="4" t="s">
        <v>978</v>
      </c>
      <c r="B360" s="5" t="s">
        <v>979</v>
      </c>
      <c r="C360" s="5" t="s">
        <v>34</v>
      </c>
      <c r="D360" s="5" t="s">
        <v>35</v>
      </c>
      <c r="E360" s="5" t="s">
        <v>572</v>
      </c>
      <c r="F360" s="9">
        <v>14</v>
      </c>
      <c r="G360" s="9">
        <v>156</v>
      </c>
      <c r="H360" s="5" t="s">
        <v>20</v>
      </c>
      <c r="I360" s="5" t="s">
        <v>980</v>
      </c>
      <c r="J360" s="12" t="str">
        <f>HYPERLINK("https://www.boe.es/gazeta/dias/1807/02/10/pdfs/GMD-1807-14.pdf#page=4","Abrir facsímil")</f>
        <v>Abrir facsímil</v>
      </c>
      <c r="K360" s="15" t="s">
        <v>22</v>
      </c>
    </row>
    <row r="361" spans="1:11" ht="42" customHeight="1">
      <c r="A361" s="4" t="s">
        <v>974</v>
      </c>
      <c r="B361" s="5" t="s">
        <v>975</v>
      </c>
      <c r="C361" s="5" t="s">
        <v>49</v>
      </c>
      <c r="D361" s="5" t="s">
        <v>50</v>
      </c>
      <c r="E361" s="5" t="s">
        <v>572</v>
      </c>
      <c r="F361" s="9">
        <v>14</v>
      </c>
      <c r="G361" s="9">
        <v>157</v>
      </c>
      <c r="H361" s="5" t="s">
        <v>20</v>
      </c>
      <c r="I361" s="5" t="s">
        <v>981</v>
      </c>
      <c r="J361" s="12" t="str">
        <f>HYPERLINK("https://www.boe.es/gazeta/dias/1807/02/10/pdfs/GMD-1807-14.pdf#page=5","Abrir facsímil")</f>
        <v>Abrir facsímil</v>
      </c>
      <c r="K361" s="15" t="s">
        <v>22</v>
      </c>
    </row>
    <row r="362" spans="1:11" ht="42" customHeight="1">
      <c r="A362" s="4" t="s">
        <v>974</v>
      </c>
      <c r="B362" s="5" t="s">
        <v>975</v>
      </c>
      <c r="C362" s="5" t="s">
        <v>49</v>
      </c>
      <c r="D362" s="5" t="s">
        <v>50</v>
      </c>
      <c r="E362" s="5" t="s">
        <v>572</v>
      </c>
      <c r="F362" s="9">
        <v>14</v>
      </c>
      <c r="G362" s="9">
        <v>158</v>
      </c>
      <c r="H362" s="5" t="s">
        <v>20</v>
      </c>
      <c r="I362" s="5" t="s">
        <v>982</v>
      </c>
      <c r="J362" s="12" t="str">
        <f>HYPERLINK("https://www.boe.es/gazeta/dias/1807/02/10/pdfs/GMD-1807-14.pdf#page=6","Abrir facsímil")</f>
        <v>Abrir facsímil</v>
      </c>
      <c r="K362" s="15" t="s">
        <v>22</v>
      </c>
    </row>
    <row r="363" spans="1:11" ht="42" customHeight="1">
      <c r="A363" s="4" t="s">
        <v>983</v>
      </c>
      <c r="B363" s="5" t="s">
        <v>984</v>
      </c>
      <c r="C363" s="5" t="s">
        <v>49</v>
      </c>
      <c r="D363" s="5" t="s">
        <v>50</v>
      </c>
      <c r="E363" s="5" t="s">
        <v>183</v>
      </c>
      <c r="F363" s="9">
        <v>1</v>
      </c>
      <c r="G363" s="9">
        <v>3</v>
      </c>
      <c r="H363" s="5" t="s">
        <v>20</v>
      </c>
      <c r="I363" s="5" t="s">
        <v>985</v>
      </c>
      <c r="J363" s="12" t="str">
        <f>HYPERLINK("https://www.boe.es/gazeta/dias/1807/01/02/pdfs/GMD-1807-1.pdf#page=3","Abrir facsímil")</f>
        <v>Abrir facsímil</v>
      </c>
      <c r="K363" s="15" t="s">
        <v>22</v>
      </c>
    </row>
    <row r="364" spans="1:11" ht="42" customHeight="1">
      <c r="A364" s="4" t="s">
        <v>986</v>
      </c>
      <c r="B364" s="5" t="s">
        <v>987</v>
      </c>
      <c r="C364" s="5" t="s">
        <v>24</v>
      </c>
      <c r="D364" s="5" t="s">
        <v>18</v>
      </c>
      <c r="E364" s="5" t="s">
        <v>572</v>
      </c>
      <c r="F364" s="9">
        <v>14</v>
      </c>
      <c r="G364" s="9">
        <v>158</v>
      </c>
      <c r="H364" s="5" t="s">
        <v>20</v>
      </c>
      <c r="I364" s="5" t="s">
        <v>988</v>
      </c>
      <c r="J364" s="12" t="str">
        <f>HYPERLINK("https://www.boe.es/gazeta/dias/1807/02/10/pdfs/GMD-1807-14.pdf#page=6","Abrir facsímil")</f>
        <v>Abrir facsímil</v>
      </c>
      <c r="K364" s="15" t="s">
        <v>22</v>
      </c>
    </row>
    <row r="365" spans="1:11" ht="42" customHeight="1">
      <c r="A365" s="4" t="s">
        <v>989</v>
      </c>
      <c r="B365" s="5" t="s">
        <v>989</v>
      </c>
      <c r="C365" s="5" t="s">
        <v>28</v>
      </c>
      <c r="D365" s="5" t="s">
        <v>29</v>
      </c>
      <c r="E365" s="5" t="s">
        <v>42</v>
      </c>
      <c r="F365" s="9">
        <v>31</v>
      </c>
      <c r="G365" s="9">
        <v>372</v>
      </c>
      <c r="H365" s="5" t="s">
        <v>20</v>
      </c>
      <c r="I365" s="5" t="s">
        <v>990</v>
      </c>
      <c r="J365" s="12" t="str">
        <f>HYPERLINK("https://www.boe.es/gazeta/dias/1807/04/07/pdfs/GMD-1807-31.pdf#page=12","Abrir facsímil")</f>
        <v>Abrir facsímil</v>
      </c>
      <c r="K365" s="15" t="s">
        <v>22</v>
      </c>
    </row>
    <row r="366" spans="1:11" ht="42" customHeight="1">
      <c r="A366" s="4" t="s">
        <v>991</v>
      </c>
      <c r="B366" s="5" t="s">
        <v>992</v>
      </c>
      <c r="C366" s="5" t="s">
        <v>28</v>
      </c>
      <c r="D366" s="5" t="s">
        <v>29</v>
      </c>
      <c r="E366" s="5" t="s">
        <v>62</v>
      </c>
      <c r="F366" s="9">
        <v>68</v>
      </c>
      <c r="G366" s="9">
        <v>782</v>
      </c>
      <c r="H366" s="5" t="s">
        <v>20</v>
      </c>
      <c r="I366" s="5" t="s">
        <v>993</v>
      </c>
      <c r="J366" s="12" t="str">
        <f>HYPERLINK("https://www.boe.es/gazeta/dias/1807/07/31/pdfs/GMD-1807-68.pdf#page=6","Abrir facsímil")</f>
        <v>Abrir facsímil</v>
      </c>
      <c r="K366" s="15" t="s">
        <v>22</v>
      </c>
    </row>
    <row r="367" spans="1:11" ht="42" customHeight="1">
      <c r="A367" s="4" t="s">
        <v>994</v>
      </c>
      <c r="B367" s="5" t="s">
        <v>995</v>
      </c>
      <c r="C367" s="5" t="s">
        <v>49</v>
      </c>
      <c r="D367" s="5" t="s">
        <v>50</v>
      </c>
      <c r="E367" s="5" t="s">
        <v>376</v>
      </c>
      <c r="F367" s="9">
        <v>19</v>
      </c>
      <c r="G367" s="9">
        <v>222</v>
      </c>
      <c r="H367" s="5" t="s">
        <v>20</v>
      </c>
      <c r="I367" s="5" t="s">
        <v>996</v>
      </c>
      <c r="J367" s="12" t="str">
        <f>HYPERLINK("https://www.boe.es/gazeta/dias/1807/02/27/pdfs/GMD-1807-19.pdf#page=6","Abrir facsímil")</f>
        <v>Abrir facsímil</v>
      </c>
      <c r="K367" s="15" t="s">
        <v>22</v>
      </c>
    </row>
    <row r="368" spans="1:11" ht="42" customHeight="1">
      <c r="A368" s="4" t="s">
        <v>997</v>
      </c>
      <c r="B368" s="5" t="s">
        <v>998</v>
      </c>
      <c r="C368" s="5" t="s">
        <v>49</v>
      </c>
      <c r="D368" s="5" t="s">
        <v>50</v>
      </c>
      <c r="E368" s="5" t="s">
        <v>376</v>
      </c>
      <c r="F368" s="9">
        <v>19</v>
      </c>
      <c r="G368" s="9">
        <v>219</v>
      </c>
      <c r="H368" s="5" t="s">
        <v>20</v>
      </c>
      <c r="I368" s="5" t="s">
        <v>999</v>
      </c>
      <c r="J368" s="12" t="str">
        <f>HYPERLINK("https://www.boe.es/gazeta/dias/1807/02/27/pdfs/GMD-1807-19.pdf#page=3","Abrir facsímil")</f>
        <v>Abrir facsímil</v>
      </c>
      <c r="K368" s="15" t="s">
        <v>22</v>
      </c>
    </row>
    <row r="369" spans="1:11" ht="42" customHeight="1">
      <c r="A369" s="4" t="s">
        <v>1000</v>
      </c>
      <c r="B369" s="5" t="s">
        <v>1001</v>
      </c>
      <c r="C369" s="5" t="s">
        <v>89</v>
      </c>
      <c r="D369" s="5" t="s">
        <v>90</v>
      </c>
      <c r="E369" s="5" t="s">
        <v>266</v>
      </c>
      <c r="F369" s="9">
        <v>67</v>
      </c>
      <c r="G369" s="9">
        <v>771</v>
      </c>
      <c r="H369" s="5" t="s">
        <v>20</v>
      </c>
      <c r="I369" s="5" t="s">
        <v>1002</v>
      </c>
      <c r="J369" s="12" t="str">
        <f>HYPERLINK("https://www.boe.es/gazeta/dias/1807/07/28/pdfs/GMD-1807-67.pdf#page=7","Abrir facsímil")</f>
        <v>Abrir facsímil</v>
      </c>
      <c r="K369" s="15" t="s">
        <v>22</v>
      </c>
    </row>
    <row r="370" spans="1:11" ht="42" customHeight="1">
      <c r="A370" s="4" t="s">
        <v>1003</v>
      </c>
      <c r="B370" s="5" t="s">
        <v>1004</v>
      </c>
      <c r="C370" s="5" t="s">
        <v>28</v>
      </c>
      <c r="D370" s="5" t="s">
        <v>29</v>
      </c>
      <c r="E370" s="5" t="s">
        <v>42</v>
      </c>
      <c r="F370" s="9">
        <v>31</v>
      </c>
      <c r="G370" s="9">
        <v>367</v>
      </c>
      <c r="H370" s="5" t="s">
        <v>20</v>
      </c>
      <c r="I370" s="5" t="s">
        <v>1005</v>
      </c>
      <c r="J370" s="12" t="str">
        <f>HYPERLINK("https://www.boe.es/gazeta/dias/1807/04/07/pdfs/GMD-1807-31.pdf#page=7","Abrir facsímil")</f>
        <v>Abrir facsímil</v>
      </c>
      <c r="K370" s="15" t="s">
        <v>22</v>
      </c>
    </row>
    <row r="371" spans="1:11" ht="42" customHeight="1">
      <c r="A371" s="4" t="s">
        <v>1006</v>
      </c>
      <c r="B371" s="5" t="s">
        <v>1007</v>
      </c>
      <c r="C371" s="5" t="s">
        <v>28</v>
      </c>
      <c r="D371" s="5" t="s">
        <v>29</v>
      </c>
      <c r="E371" s="5" t="s">
        <v>98</v>
      </c>
      <c r="F371" s="9">
        <v>34</v>
      </c>
      <c r="G371" s="9">
        <v>404</v>
      </c>
      <c r="H371" s="5" t="s">
        <v>20</v>
      </c>
      <c r="I371" s="5" t="s">
        <v>1008</v>
      </c>
      <c r="J371" s="12" t="str">
        <f>HYPERLINK("https://www.boe.es/gazeta/dias/1807/04/17/pdfs/GMD-1807-34.pdf#page=8","Abrir facsímil")</f>
        <v>Abrir facsímil</v>
      </c>
      <c r="K371" s="15" t="s">
        <v>22</v>
      </c>
    </row>
    <row r="372" spans="1:11" ht="42" customHeight="1">
      <c r="A372" s="4" t="s">
        <v>1009</v>
      </c>
      <c r="B372" s="5" t="s">
        <v>1010</v>
      </c>
      <c r="C372" s="5" t="s">
        <v>24</v>
      </c>
      <c r="D372" s="5" t="s">
        <v>18</v>
      </c>
      <c r="E372" s="5" t="s">
        <v>929</v>
      </c>
      <c r="F372" s="9">
        <v>85</v>
      </c>
      <c r="G372" s="9">
        <v>996</v>
      </c>
      <c r="H372" s="5" t="s">
        <v>20</v>
      </c>
      <c r="I372" s="5" t="s">
        <v>1011</v>
      </c>
      <c r="J372" s="12" t="str">
        <f>HYPERLINK("https://www.boe.es/gazeta/dias/1807/09/25/pdfs/GMD-1807-85.pdf#page=12","Abrir facsímil")</f>
        <v>Abrir facsímil</v>
      </c>
      <c r="K372" s="15" t="s">
        <v>22</v>
      </c>
    </row>
    <row r="373" spans="1:11" ht="42" customHeight="1">
      <c r="A373" s="4" t="s">
        <v>1012</v>
      </c>
      <c r="B373" s="5" t="s">
        <v>1012</v>
      </c>
      <c r="C373" s="5" t="s">
        <v>28</v>
      </c>
      <c r="D373" s="5" t="s">
        <v>29</v>
      </c>
      <c r="E373" s="5" t="s">
        <v>42</v>
      </c>
      <c r="F373" s="9">
        <v>31</v>
      </c>
      <c r="G373" s="9">
        <v>367</v>
      </c>
      <c r="H373" s="5" t="s">
        <v>20</v>
      </c>
      <c r="I373" s="5" t="s">
        <v>1013</v>
      </c>
      <c r="J373" s="12" t="str">
        <f>HYPERLINK("https://www.boe.es/gazeta/dias/1807/04/07/pdfs/GMD-1807-31.pdf#page=7","Abrir facsímil")</f>
        <v>Abrir facsímil</v>
      </c>
      <c r="K373" s="15" t="s">
        <v>22</v>
      </c>
    </row>
    <row r="374" spans="1:11" ht="42" customHeight="1">
      <c r="A374" s="4" t="s">
        <v>1012</v>
      </c>
      <c r="B374" s="5" t="s">
        <v>1012</v>
      </c>
      <c r="C374" s="5" t="s">
        <v>28</v>
      </c>
      <c r="D374" s="5" t="s">
        <v>29</v>
      </c>
      <c r="E374" s="5" t="s">
        <v>186</v>
      </c>
      <c r="F374" s="9">
        <v>72</v>
      </c>
      <c r="G374" s="9">
        <v>828</v>
      </c>
      <c r="H374" s="5" t="s">
        <v>20</v>
      </c>
      <c r="I374" s="5" t="s">
        <v>1014</v>
      </c>
      <c r="J374" s="12" t="str">
        <f>HYPERLINK("https://www.boe.es/gazeta/dias/1807/08/11/pdfs/GMD-1807-72.pdf#page=8","Abrir facsímil")</f>
        <v>Abrir facsímil</v>
      </c>
      <c r="K374" s="15" t="s">
        <v>22</v>
      </c>
    </row>
    <row r="375" spans="1:11" ht="42" customHeight="1">
      <c r="A375" s="4" t="s">
        <v>1015</v>
      </c>
      <c r="B375" s="5" t="s">
        <v>1015</v>
      </c>
      <c r="C375" s="5" t="s">
        <v>28</v>
      </c>
      <c r="D375" s="5" t="s">
        <v>29</v>
      </c>
      <c r="E375" s="5" t="s">
        <v>471</v>
      </c>
      <c r="F375" s="9">
        <v>51</v>
      </c>
      <c r="G375" s="9">
        <v>607</v>
      </c>
      <c r="H375" s="5" t="s">
        <v>20</v>
      </c>
      <c r="I375" s="5" t="s">
        <v>1016</v>
      </c>
      <c r="J375" s="12" t="str">
        <f>HYPERLINK("https://www.boe.es/gazeta/dias/1807/06/16/pdfs/GMD-1807-51.pdf#page=9","Abrir facsímil")</f>
        <v>Abrir facsímil</v>
      </c>
      <c r="K375" s="15" t="s">
        <v>22</v>
      </c>
    </row>
    <row r="376" spans="1:11" ht="42" customHeight="1">
      <c r="A376" s="4" t="s">
        <v>1015</v>
      </c>
      <c r="B376" s="5" t="s">
        <v>1015</v>
      </c>
      <c r="C376" s="5" t="s">
        <v>28</v>
      </c>
      <c r="D376" s="5" t="s">
        <v>29</v>
      </c>
      <c r="E376" s="5" t="s">
        <v>471</v>
      </c>
      <c r="F376" s="9">
        <v>51</v>
      </c>
      <c r="G376" s="9">
        <v>608</v>
      </c>
      <c r="H376" s="5" t="s">
        <v>20</v>
      </c>
      <c r="I376" s="5" t="s">
        <v>1017</v>
      </c>
      <c r="J376" s="12" t="str">
        <f>HYPERLINK("https://www.boe.es/gazeta/dias/1807/06/16/pdfs/GMD-1807-51.pdf#page=10","Abrir facsímil")</f>
        <v>Abrir facsímil</v>
      </c>
      <c r="K376" s="15" t="s">
        <v>22</v>
      </c>
    </row>
    <row r="377" spans="1:11" ht="42" customHeight="1">
      <c r="A377" s="4" t="s">
        <v>1018</v>
      </c>
      <c r="B377" s="5" t="s">
        <v>1019</v>
      </c>
      <c r="C377" s="5" t="s">
        <v>34</v>
      </c>
      <c r="D377" s="5" t="s">
        <v>35</v>
      </c>
      <c r="E377" s="5" t="s">
        <v>19</v>
      </c>
      <c r="F377" s="9">
        <v>41</v>
      </c>
      <c r="G377" s="9">
        <v>489</v>
      </c>
      <c r="H377" s="5" t="s">
        <v>20</v>
      </c>
      <c r="I377" s="5" t="s">
        <v>1020</v>
      </c>
      <c r="J377" s="12" t="str">
        <f>HYPERLINK("https://www.boe.es/gazeta/dias/1807/05/12/pdfs/GMD-1807-41.pdf#page=7","Abrir facsímil")</f>
        <v>Abrir facsímil</v>
      </c>
      <c r="K377" s="15" t="s">
        <v>22</v>
      </c>
    </row>
    <row r="378" spans="1:11" ht="42" customHeight="1">
      <c r="A378" s="4" t="s">
        <v>1021</v>
      </c>
      <c r="B378" s="5" t="s">
        <v>1022</v>
      </c>
      <c r="C378" s="5" t="s">
        <v>17</v>
      </c>
      <c r="D378" s="5" t="s">
        <v>18</v>
      </c>
      <c r="E378" s="5" t="s">
        <v>139</v>
      </c>
      <c r="F378" s="9">
        <v>110</v>
      </c>
      <c r="G378" s="9">
        <v>1286</v>
      </c>
      <c r="H378" s="5" t="s">
        <v>20</v>
      </c>
      <c r="I378" s="5" t="s">
        <v>1023</v>
      </c>
      <c r="J378" s="12" t="str">
        <f>HYPERLINK("https://www.boe.es/gazeta/dias/1807/12/11/pdfs/GMD-1807-110.pdf#page=10","Abrir facsímil")</f>
        <v>Abrir facsímil</v>
      </c>
      <c r="K378" s="15" t="s">
        <v>22</v>
      </c>
    </row>
    <row r="379" spans="1:11" ht="42" customHeight="1">
      <c r="A379" s="4" t="s">
        <v>1024</v>
      </c>
      <c r="B379" s="5" t="s">
        <v>1024</v>
      </c>
      <c r="C379" s="5" t="s">
        <v>28</v>
      </c>
      <c r="D379" s="5" t="s">
        <v>29</v>
      </c>
      <c r="E379" s="5" t="s">
        <v>929</v>
      </c>
      <c r="F379" s="9">
        <v>85</v>
      </c>
      <c r="G379" s="9">
        <v>992</v>
      </c>
      <c r="H379" s="5" t="s">
        <v>20</v>
      </c>
      <c r="I379" s="5" t="s">
        <v>1025</v>
      </c>
      <c r="J379" s="12" t="str">
        <f>HYPERLINK("https://www.boe.es/gazeta/dias/1807/09/25/pdfs/GMD-1807-85.pdf#page=8","Abrir facsímil")</f>
        <v>Abrir facsímil</v>
      </c>
      <c r="K379" s="15" t="s">
        <v>22</v>
      </c>
    </row>
    <row r="380" spans="1:11" ht="42" customHeight="1">
      <c r="A380" s="4" t="s">
        <v>1026</v>
      </c>
      <c r="B380" s="5" t="s">
        <v>1026</v>
      </c>
      <c r="C380" s="5" t="s">
        <v>89</v>
      </c>
      <c r="D380" s="5" t="s">
        <v>90</v>
      </c>
      <c r="E380" s="5" t="s">
        <v>215</v>
      </c>
      <c r="F380" s="9">
        <v>5</v>
      </c>
      <c r="G380" s="9">
        <v>55</v>
      </c>
      <c r="H380" s="5" t="s">
        <v>20</v>
      </c>
      <c r="I380" s="5" t="s">
        <v>1027</v>
      </c>
      <c r="J380" s="12" t="str">
        <f>HYPERLINK("https://www.boe.es/gazeta/dias/1807/01/16/pdfs/GMD-1807-5.pdf#page=11","Abrir facsímil")</f>
        <v>Abrir facsímil</v>
      </c>
      <c r="K380" s="15" t="s">
        <v>22</v>
      </c>
    </row>
    <row r="381" spans="1:11" ht="42" customHeight="1">
      <c r="A381" s="4" t="s">
        <v>1028</v>
      </c>
      <c r="B381" s="5" t="s">
        <v>1029</v>
      </c>
      <c r="C381" s="5" t="s">
        <v>17</v>
      </c>
      <c r="D381" s="5" t="s">
        <v>18</v>
      </c>
      <c r="E381" s="5" t="s">
        <v>51</v>
      </c>
      <c r="F381" s="9">
        <v>62</v>
      </c>
      <c r="G381" s="9">
        <v>732</v>
      </c>
      <c r="H381" s="5" t="s">
        <v>20</v>
      </c>
      <c r="I381" s="5" t="s">
        <v>1030</v>
      </c>
      <c r="J381" s="12" t="str">
        <f>HYPERLINK("https://www.boe.es/gazeta/dias/1807/07/17/pdfs/GMD-1807-62.pdf#page=6","Abrir facsímil")</f>
        <v>Abrir facsímil</v>
      </c>
      <c r="K381" s="15" t="s">
        <v>22</v>
      </c>
    </row>
    <row r="382" spans="1:11" ht="42" customHeight="1">
      <c r="A382" s="4" t="s">
        <v>1031</v>
      </c>
      <c r="B382" s="5" t="s">
        <v>1032</v>
      </c>
      <c r="C382" s="5" t="s">
        <v>34</v>
      </c>
      <c r="D382" s="5" t="s">
        <v>35</v>
      </c>
      <c r="E382" s="5" t="s">
        <v>929</v>
      </c>
      <c r="F382" s="9">
        <v>85</v>
      </c>
      <c r="G382" s="9">
        <v>991</v>
      </c>
      <c r="H382" s="5" t="s">
        <v>20</v>
      </c>
      <c r="I382" s="5" t="s">
        <v>1033</v>
      </c>
      <c r="J382" s="12" t="str">
        <f>HYPERLINK("https://www.boe.es/gazeta/dias/1807/09/25/pdfs/GMD-1807-85.pdf#page=7","Abrir facsímil")</f>
        <v>Abrir facsímil</v>
      </c>
      <c r="K382" s="15" t="s">
        <v>22</v>
      </c>
    </row>
    <row r="383" spans="1:11" ht="42" customHeight="1">
      <c r="A383" s="4" t="s">
        <v>1034</v>
      </c>
      <c r="B383" s="5" t="s">
        <v>1035</v>
      </c>
      <c r="C383" s="5" t="s">
        <v>34</v>
      </c>
      <c r="D383" s="5" t="s">
        <v>35</v>
      </c>
      <c r="E383" s="5" t="s">
        <v>111</v>
      </c>
      <c r="F383" s="9">
        <v>90</v>
      </c>
      <c r="G383" s="9">
        <v>1044</v>
      </c>
      <c r="H383" s="5" t="s">
        <v>20</v>
      </c>
      <c r="I383" s="5" t="s">
        <v>1036</v>
      </c>
      <c r="J383" s="12" t="str">
        <f>HYPERLINK("https://www.boe.es/gazeta/dias/1807/10/06/pdfs/GMD-1807-90.pdf#page=12","Abrir facsímil")</f>
        <v>Abrir facsímil</v>
      </c>
      <c r="K383" s="15" t="s">
        <v>22</v>
      </c>
    </row>
    <row r="384" spans="1:11" ht="42" customHeight="1">
      <c r="A384" s="4" t="s">
        <v>1037</v>
      </c>
      <c r="B384" s="5" t="s">
        <v>1038</v>
      </c>
      <c r="C384" s="5" t="s">
        <v>28</v>
      </c>
      <c r="D384" s="5" t="s">
        <v>29</v>
      </c>
      <c r="E384" s="5" t="s">
        <v>461</v>
      </c>
      <c r="F384" s="9">
        <v>99</v>
      </c>
      <c r="G384" s="9">
        <v>1152</v>
      </c>
      <c r="H384" s="5" t="s">
        <v>20</v>
      </c>
      <c r="I384" s="5" t="s">
        <v>1039</v>
      </c>
      <c r="J384" s="12" t="str">
        <f>HYPERLINK("https://www.boe.es/gazeta/dias/1807/11/06/pdfs/GMD-1807-99.pdf#page=8","Abrir facsímil")</f>
        <v>Abrir facsímil</v>
      </c>
      <c r="K384" s="15" t="s">
        <v>22</v>
      </c>
    </row>
    <row r="385" spans="1:11" ht="42" customHeight="1">
      <c r="A385" s="4" t="s">
        <v>1040</v>
      </c>
      <c r="B385" s="5" t="s">
        <v>1041</v>
      </c>
      <c r="C385" s="5" t="s">
        <v>49</v>
      </c>
      <c r="D385" s="5" t="s">
        <v>50</v>
      </c>
      <c r="E385" s="5" t="s">
        <v>86</v>
      </c>
      <c r="F385" s="9">
        <v>12</v>
      </c>
      <c r="G385" s="9">
        <v>131</v>
      </c>
      <c r="H385" s="5" t="s">
        <v>20</v>
      </c>
      <c r="I385" s="5" t="s">
        <v>1042</v>
      </c>
      <c r="J385" s="12" t="str">
        <f>HYPERLINK("https://www.boe.es/gazeta/dias/1807/02/03/pdfs/GMD-1807-12.pdf#page=3","Abrir facsímil")</f>
        <v>Abrir facsímil</v>
      </c>
      <c r="K385" s="15" t="s">
        <v>22</v>
      </c>
    </row>
    <row r="386" spans="1:11" ht="42" customHeight="1">
      <c r="A386" s="4" t="s">
        <v>1043</v>
      </c>
      <c r="B386" s="5" t="s">
        <v>1044</v>
      </c>
      <c r="C386" s="5" t="s">
        <v>17</v>
      </c>
      <c r="D386" s="5" t="s">
        <v>18</v>
      </c>
      <c r="E386" s="5" t="s">
        <v>595</v>
      </c>
      <c r="F386" s="9">
        <v>59</v>
      </c>
      <c r="G386" s="9">
        <v>701</v>
      </c>
      <c r="H386" s="5" t="s">
        <v>20</v>
      </c>
      <c r="I386" s="5" t="s">
        <v>1045</v>
      </c>
      <c r="J386" s="12" t="str">
        <f>HYPERLINK("https://www.boe.es/gazeta/dias/1807/07/10/pdfs/GMD-1807-59.pdf#page=7","Abrir facsímil")</f>
        <v>Abrir facsímil</v>
      </c>
      <c r="K386" s="15" t="s">
        <v>22</v>
      </c>
    </row>
    <row r="387" spans="1:11" ht="42" customHeight="1">
      <c r="A387" s="4" t="s">
        <v>1046</v>
      </c>
      <c r="B387" s="5" t="s">
        <v>1047</v>
      </c>
      <c r="C387" s="5" t="s">
        <v>49</v>
      </c>
      <c r="D387" s="5" t="s">
        <v>50</v>
      </c>
      <c r="E387" s="5" t="s">
        <v>259</v>
      </c>
      <c r="F387" s="9">
        <v>3</v>
      </c>
      <c r="G387" s="9">
        <v>21</v>
      </c>
      <c r="H387" s="5" t="s">
        <v>20</v>
      </c>
      <c r="I387" s="5" t="s">
        <v>1048</v>
      </c>
      <c r="J387" s="12" t="str">
        <f>HYPERLINK("https://www.boe.es/gazeta/dias/1807/01/09/pdfs/GMD-1807-3.pdf#page=1","Abrir facsímil")</f>
        <v>Abrir facsímil</v>
      </c>
      <c r="K387" s="15" t="s">
        <v>22</v>
      </c>
    </row>
    <row r="388" spans="1:11" ht="42" customHeight="1">
      <c r="A388" s="4" t="s">
        <v>1049</v>
      </c>
      <c r="B388" s="5" t="s">
        <v>1049</v>
      </c>
      <c r="C388" s="5" t="s">
        <v>28</v>
      </c>
      <c r="D388" s="5" t="s">
        <v>29</v>
      </c>
      <c r="E388" s="5" t="s">
        <v>111</v>
      </c>
      <c r="F388" s="9">
        <v>90</v>
      </c>
      <c r="G388" s="9">
        <v>1047</v>
      </c>
      <c r="H388" s="5" t="s">
        <v>20</v>
      </c>
      <c r="I388" s="5" t="s">
        <v>1050</v>
      </c>
      <c r="J388" s="12" t="str">
        <f>HYPERLINK("https://www.boe.es/gazeta/dias/1807/10/06/pdfs/GMD-1807-90.pdf#page=15","Abrir facsímil")</f>
        <v>Abrir facsímil</v>
      </c>
      <c r="K388" s="15" t="s">
        <v>22</v>
      </c>
    </row>
    <row r="389" spans="1:11" ht="42" customHeight="1">
      <c r="A389" s="4" t="s">
        <v>1051</v>
      </c>
      <c r="B389" s="5" t="s">
        <v>1051</v>
      </c>
      <c r="C389" s="5" t="s">
        <v>28</v>
      </c>
      <c r="D389" s="5" t="s">
        <v>29</v>
      </c>
      <c r="E389" s="5" t="s">
        <v>156</v>
      </c>
      <c r="F389" s="9">
        <v>74</v>
      </c>
      <c r="G389" s="9">
        <v>852</v>
      </c>
      <c r="H389" s="5" t="s">
        <v>20</v>
      </c>
      <c r="I389" s="5" t="s">
        <v>1052</v>
      </c>
      <c r="J389" s="12" t="str">
        <f>HYPERLINK("https://www.boe.es/gazeta/dias/1807/08/18/pdfs/GMD-1807-74.pdf#page=4","Abrir facsímil")</f>
        <v>Abrir facsímil</v>
      </c>
      <c r="K389" s="15" t="s">
        <v>22</v>
      </c>
    </row>
    <row r="390" spans="1:11" ht="42" customHeight="1">
      <c r="A390" s="4" t="s">
        <v>1053</v>
      </c>
      <c r="B390" s="5" t="s">
        <v>1054</v>
      </c>
      <c r="C390" s="5" t="s">
        <v>24</v>
      </c>
      <c r="D390" s="5" t="s">
        <v>18</v>
      </c>
      <c r="E390" s="5" t="s">
        <v>167</v>
      </c>
      <c r="F390" s="9">
        <v>77</v>
      </c>
      <c r="G390" s="9">
        <v>895</v>
      </c>
      <c r="H390" s="5" t="s">
        <v>20</v>
      </c>
      <c r="I390" s="5" t="s">
        <v>1055</v>
      </c>
      <c r="J390" s="12" t="str">
        <f>HYPERLINK("https://www.boe.es/gazeta/dias/1807/08/28/pdfs/GMD-1807-77.pdf#page=11","Abrir facsímil")</f>
        <v>Abrir facsímil</v>
      </c>
      <c r="K390" s="15" t="s">
        <v>22</v>
      </c>
    </row>
    <row r="391" spans="1:11" ht="42" customHeight="1">
      <c r="A391" s="4" t="s">
        <v>1056</v>
      </c>
      <c r="B391" s="5" t="s">
        <v>1057</v>
      </c>
      <c r="C391" s="5" t="s">
        <v>28</v>
      </c>
      <c r="D391" s="5" t="s">
        <v>29</v>
      </c>
      <c r="E391" s="5" t="s">
        <v>215</v>
      </c>
      <c r="F391" s="9">
        <v>5</v>
      </c>
      <c r="G391" s="9">
        <v>50</v>
      </c>
      <c r="H391" s="5" t="s">
        <v>20</v>
      </c>
      <c r="I391" s="5" t="s">
        <v>1058</v>
      </c>
      <c r="J391" s="12" t="str">
        <f>HYPERLINK("https://www.boe.es/gazeta/dias/1807/01/16/pdfs/GMD-1807-5.pdf#page=6","Abrir facsímil")</f>
        <v>Abrir facsímil</v>
      </c>
      <c r="K391" s="15" t="s">
        <v>22</v>
      </c>
    </row>
    <row r="392" spans="1:11" ht="42" customHeight="1">
      <c r="A392" s="4" t="s">
        <v>1056</v>
      </c>
      <c r="B392" s="5" t="s">
        <v>1057</v>
      </c>
      <c r="C392" s="5" t="s">
        <v>252</v>
      </c>
      <c r="D392" s="5" t="s">
        <v>253</v>
      </c>
      <c r="E392" s="5" t="s">
        <v>534</v>
      </c>
      <c r="F392" s="9" t="s">
        <v>535</v>
      </c>
      <c r="G392" s="9">
        <v>102</v>
      </c>
      <c r="H392" s="5" t="s">
        <v>20</v>
      </c>
      <c r="I392" s="5" t="s">
        <v>1059</v>
      </c>
      <c r="J392" s="12" t="str">
        <f>HYPERLINK("https://www.boe.es/gazeta/dias/1807/01/24/pdfs/GMD-1807-9E.pdf#page=6","Abrir facsímil")</f>
        <v>Abrir facsímil</v>
      </c>
      <c r="K392" s="15" t="s">
        <v>22</v>
      </c>
    </row>
    <row r="393" spans="1:11" ht="42" customHeight="1">
      <c r="A393" s="4" t="s">
        <v>1056</v>
      </c>
      <c r="B393" s="5" t="s">
        <v>1057</v>
      </c>
      <c r="C393" s="5" t="s">
        <v>24</v>
      </c>
      <c r="D393" s="5" t="s">
        <v>18</v>
      </c>
      <c r="E393" s="5" t="s">
        <v>534</v>
      </c>
      <c r="F393" s="9" t="s">
        <v>535</v>
      </c>
      <c r="G393" s="9">
        <v>98</v>
      </c>
      <c r="H393" s="5" t="s">
        <v>20</v>
      </c>
      <c r="I393" s="5" t="s">
        <v>1060</v>
      </c>
      <c r="J393" s="12" t="str">
        <f>HYPERLINK("https://www.boe.es/gazeta/dias/1807/01/24/pdfs/GMD-1807-9E.pdf#page=2","Abrir facsímil")</f>
        <v>Abrir facsímil</v>
      </c>
      <c r="K393" s="15" t="s">
        <v>22</v>
      </c>
    </row>
    <row r="394" spans="1:11" ht="42" customHeight="1">
      <c r="A394" s="4" t="s">
        <v>1056</v>
      </c>
      <c r="B394" s="5" t="s">
        <v>1057</v>
      </c>
      <c r="C394" s="5" t="s">
        <v>252</v>
      </c>
      <c r="D394" s="5" t="s">
        <v>253</v>
      </c>
      <c r="E394" s="5" t="s">
        <v>534</v>
      </c>
      <c r="F394" s="9" t="s">
        <v>535</v>
      </c>
      <c r="G394" s="9">
        <v>99</v>
      </c>
      <c r="H394" s="5" t="s">
        <v>20</v>
      </c>
      <c r="I394" s="5" t="s">
        <v>1061</v>
      </c>
      <c r="J394" s="12" t="str">
        <f>HYPERLINK("https://www.boe.es/gazeta/dias/1807/01/24/pdfs/GMD-1807-9E.pdf#page=3","Abrir facsímil")</f>
        <v>Abrir facsímil</v>
      </c>
      <c r="K394" s="15" t="s">
        <v>22</v>
      </c>
    </row>
    <row r="395" spans="1:11" ht="42" customHeight="1">
      <c r="A395" s="4" t="s">
        <v>1056</v>
      </c>
      <c r="B395" s="5" t="s">
        <v>1057</v>
      </c>
      <c r="C395" s="5" t="s">
        <v>49</v>
      </c>
      <c r="D395" s="5" t="s">
        <v>50</v>
      </c>
      <c r="E395" s="5" t="s">
        <v>86</v>
      </c>
      <c r="F395" s="9">
        <v>12</v>
      </c>
      <c r="G395" s="9">
        <v>134</v>
      </c>
      <c r="H395" s="5" t="s">
        <v>20</v>
      </c>
      <c r="I395" s="5" t="s">
        <v>1062</v>
      </c>
      <c r="J395" s="12" t="str">
        <f>HYPERLINK("https://www.boe.es/gazeta/dias/1807/02/03/pdfs/GMD-1807-12.pdf#page=6","Abrir facsímil")</f>
        <v>Abrir facsímil</v>
      </c>
      <c r="K395" s="15" t="s">
        <v>22</v>
      </c>
    </row>
    <row r="396" spans="1:11" ht="42" customHeight="1">
      <c r="A396" s="4" t="s">
        <v>1063</v>
      </c>
      <c r="B396" s="5" t="s">
        <v>1064</v>
      </c>
      <c r="C396" s="5" t="s">
        <v>24</v>
      </c>
      <c r="D396" s="5" t="s">
        <v>18</v>
      </c>
      <c r="E396" s="5" t="s">
        <v>215</v>
      </c>
      <c r="F396" s="9">
        <v>5</v>
      </c>
      <c r="G396" s="9">
        <v>51</v>
      </c>
      <c r="H396" s="5" t="s">
        <v>20</v>
      </c>
      <c r="I396" s="5" t="s">
        <v>1065</v>
      </c>
      <c r="J396" s="12" t="str">
        <f>HYPERLINK("https://www.boe.es/gazeta/dias/1807/01/16/pdfs/GMD-1807-5.pdf#page=7","Abrir facsímil")</f>
        <v>Abrir facsímil</v>
      </c>
      <c r="K396" s="15" t="s">
        <v>22</v>
      </c>
    </row>
    <row r="397" spans="1:11" ht="42" customHeight="1">
      <c r="A397" s="4" t="s">
        <v>1066</v>
      </c>
      <c r="B397" s="5" t="s">
        <v>1067</v>
      </c>
      <c r="C397" s="5" t="s">
        <v>28</v>
      </c>
      <c r="D397" s="5" t="s">
        <v>29</v>
      </c>
      <c r="E397" s="5" t="s">
        <v>208</v>
      </c>
      <c r="F397" s="9">
        <v>42</v>
      </c>
      <c r="G397" s="9">
        <v>505</v>
      </c>
      <c r="H397" s="5" t="s">
        <v>20</v>
      </c>
      <c r="I397" s="5" t="s">
        <v>1068</v>
      </c>
      <c r="J397" s="12" t="str">
        <f>HYPERLINK("https://www.boe.es/gazeta/dias/1807/05/15/pdfs/GMD-1807-42.pdf#page=11","Abrir facsímil")</f>
        <v>Abrir facsímil</v>
      </c>
      <c r="K397" s="15" t="s">
        <v>22</v>
      </c>
    </row>
    <row r="398" spans="1:11" ht="42" customHeight="1">
      <c r="A398" s="4" t="s">
        <v>1069</v>
      </c>
      <c r="B398" s="5" t="s">
        <v>1070</v>
      </c>
      <c r="C398" s="5" t="s">
        <v>49</v>
      </c>
      <c r="D398" s="5" t="s">
        <v>50</v>
      </c>
      <c r="E398" s="5" t="s">
        <v>76</v>
      </c>
      <c r="F398" s="9">
        <v>7</v>
      </c>
      <c r="G398" s="9">
        <v>70</v>
      </c>
      <c r="H398" s="5" t="s">
        <v>20</v>
      </c>
      <c r="I398" s="5" t="s">
        <v>1071</v>
      </c>
      <c r="J398" s="12" t="str">
        <f>HYPERLINK("https://www.boe.es/gazeta/dias/1807/01/20/pdfs/GMD-1807-7.pdf#page=2","Abrir facsímil")</f>
        <v>Abrir facsímil</v>
      </c>
      <c r="K398" s="15" t="s">
        <v>22</v>
      </c>
    </row>
    <row r="399" spans="1:11" ht="42" customHeight="1">
      <c r="A399" s="4" t="s">
        <v>1072</v>
      </c>
      <c r="B399" s="5" t="s">
        <v>1073</v>
      </c>
      <c r="C399" s="5" t="s">
        <v>17</v>
      </c>
      <c r="D399" s="5" t="s">
        <v>18</v>
      </c>
      <c r="E399" s="5" t="s">
        <v>131</v>
      </c>
      <c r="F399" s="9">
        <v>28</v>
      </c>
      <c r="G399" s="9">
        <v>334</v>
      </c>
      <c r="H399" s="5" t="s">
        <v>20</v>
      </c>
      <c r="I399" s="5" t="s">
        <v>1074</v>
      </c>
      <c r="J399" s="12" t="str">
        <f>HYPERLINK("https://www.boe.es/gazeta/dias/1807/03/27/pdfs/GMD-1807-28.pdf#page=6","Abrir facsímil")</f>
        <v>Abrir facsímil</v>
      </c>
      <c r="K399" s="15" t="s">
        <v>22</v>
      </c>
    </row>
    <row r="400" spans="1:11" ht="42" customHeight="1">
      <c r="A400" s="4" t="s">
        <v>1075</v>
      </c>
      <c r="B400" s="5" t="s">
        <v>1075</v>
      </c>
      <c r="C400" s="5" t="s">
        <v>34</v>
      </c>
      <c r="D400" s="5" t="s">
        <v>35</v>
      </c>
      <c r="E400" s="5" t="s">
        <v>1076</v>
      </c>
      <c r="F400" s="9">
        <v>96</v>
      </c>
      <c r="G400" s="9">
        <v>1118</v>
      </c>
      <c r="H400" s="5" t="s">
        <v>20</v>
      </c>
      <c r="I400" s="5" t="s">
        <v>1077</v>
      </c>
      <c r="J400" s="12" t="str">
        <f>HYPERLINK("https://www.boe.es/gazeta/dias/1807/10/27/pdfs/GMD-1807-96.pdf#page=10","Abrir facsímil")</f>
        <v>Abrir facsímil</v>
      </c>
      <c r="K400" s="15" t="s">
        <v>22</v>
      </c>
    </row>
    <row r="401" spans="1:11" ht="42" customHeight="1">
      <c r="A401" s="4" t="s">
        <v>1078</v>
      </c>
      <c r="B401" s="5" t="s">
        <v>1078</v>
      </c>
      <c r="C401" s="5" t="s">
        <v>49</v>
      </c>
      <c r="D401" s="5" t="s">
        <v>50</v>
      </c>
      <c r="E401" s="5" t="s">
        <v>42</v>
      </c>
      <c r="F401" s="9">
        <v>31</v>
      </c>
      <c r="G401" s="9">
        <v>363</v>
      </c>
      <c r="H401" s="5" t="s">
        <v>20</v>
      </c>
      <c r="I401" s="5" t="s">
        <v>1079</v>
      </c>
      <c r="J401" s="12" t="str">
        <f>HYPERLINK("https://www.boe.es/gazeta/dias/1807/04/07/pdfs/GMD-1807-31.pdf#page=3","Abrir facsímil")</f>
        <v>Abrir facsímil</v>
      </c>
      <c r="K401" s="15" t="s">
        <v>22</v>
      </c>
    </row>
    <row r="402" spans="1:11" ht="42" customHeight="1">
      <c r="A402" s="4" t="s">
        <v>1080</v>
      </c>
      <c r="B402" s="5" t="s">
        <v>1081</v>
      </c>
      <c r="C402" s="5" t="s">
        <v>34</v>
      </c>
      <c r="D402" s="5" t="s">
        <v>35</v>
      </c>
      <c r="E402" s="5" t="s">
        <v>390</v>
      </c>
      <c r="F402" s="9">
        <v>24</v>
      </c>
      <c r="G402" s="9">
        <v>287</v>
      </c>
      <c r="H402" s="5" t="s">
        <v>20</v>
      </c>
      <c r="I402" s="5" t="s">
        <v>1082</v>
      </c>
      <c r="J402" s="12" t="str">
        <f>HYPERLINK("https://www.boe.es/gazeta/dias/1807/03/13/pdfs/GMD-1807-24.pdf#page=11","Abrir facsímil")</f>
        <v>Abrir facsímil</v>
      </c>
      <c r="K402" s="15" t="s">
        <v>22</v>
      </c>
    </row>
    <row r="403" spans="1:11" ht="42" customHeight="1">
      <c r="A403" s="4" t="s">
        <v>1083</v>
      </c>
      <c r="B403" s="5" t="s">
        <v>1084</v>
      </c>
      <c r="C403" s="5" t="s">
        <v>34</v>
      </c>
      <c r="D403" s="5" t="s">
        <v>35</v>
      </c>
      <c r="E403" s="5" t="s">
        <v>76</v>
      </c>
      <c r="F403" s="9">
        <v>7</v>
      </c>
      <c r="G403" s="9">
        <v>74</v>
      </c>
      <c r="H403" s="5" t="s">
        <v>20</v>
      </c>
      <c r="I403" s="5" t="s">
        <v>1085</v>
      </c>
      <c r="J403" s="12" t="str">
        <f>HYPERLINK("https://www.boe.es/gazeta/dias/1807/01/20/pdfs/GMD-1807-7.pdf#page=6","Abrir facsímil")</f>
        <v>Abrir facsímil</v>
      </c>
      <c r="K403" s="15" t="s">
        <v>22</v>
      </c>
    </row>
    <row r="404" spans="1:11" ht="42" customHeight="1">
      <c r="A404" s="4" t="s">
        <v>1086</v>
      </c>
      <c r="B404" s="5" t="s">
        <v>1086</v>
      </c>
      <c r="C404" s="5" t="s">
        <v>49</v>
      </c>
      <c r="D404" s="5" t="s">
        <v>50</v>
      </c>
      <c r="E404" s="5" t="s">
        <v>384</v>
      </c>
      <c r="F404" s="9">
        <v>111</v>
      </c>
      <c r="G404" s="9">
        <v>1291</v>
      </c>
      <c r="H404" s="5" t="s">
        <v>20</v>
      </c>
      <c r="I404" s="5" t="s">
        <v>1087</v>
      </c>
      <c r="J404" s="12" t="str">
        <f>HYPERLINK("https://www.boe.es/gazeta/dias/1807/12/15/pdfs/GMD-1807-111.pdf#page=3","Abrir facsímil")</f>
        <v>Abrir facsímil</v>
      </c>
      <c r="K404" s="15" t="s">
        <v>22</v>
      </c>
    </row>
    <row r="405" spans="1:11" ht="42" customHeight="1">
      <c r="A405" s="4" t="s">
        <v>1088</v>
      </c>
      <c r="B405" s="5" t="s">
        <v>1089</v>
      </c>
      <c r="C405" s="5" t="s">
        <v>34</v>
      </c>
      <c r="D405" s="5" t="s">
        <v>35</v>
      </c>
      <c r="E405" s="5" t="s">
        <v>208</v>
      </c>
      <c r="F405" s="9">
        <v>42</v>
      </c>
      <c r="G405" s="9">
        <v>506</v>
      </c>
      <c r="H405" s="5" t="s">
        <v>20</v>
      </c>
      <c r="I405" s="5" t="s">
        <v>1090</v>
      </c>
      <c r="J405" s="12" t="str">
        <f>HYPERLINK("https://www.boe.es/gazeta/dias/1807/05/15/pdfs/GMD-1807-42.pdf#page=12","Abrir facsímil")</f>
        <v>Abrir facsímil</v>
      </c>
      <c r="K405" s="15" t="s">
        <v>22</v>
      </c>
    </row>
    <row r="406" spans="1:11" ht="42" customHeight="1">
      <c r="A406" s="4" t="s">
        <v>1091</v>
      </c>
      <c r="B406" s="5" t="s">
        <v>1091</v>
      </c>
      <c r="C406" s="5" t="s">
        <v>28</v>
      </c>
      <c r="D406" s="5" t="s">
        <v>29</v>
      </c>
      <c r="E406" s="5" t="s">
        <v>111</v>
      </c>
      <c r="F406" s="9">
        <v>90</v>
      </c>
      <c r="G406" s="9">
        <v>1047</v>
      </c>
      <c r="H406" s="5" t="s">
        <v>20</v>
      </c>
      <c r="I406" s="5" t="s">
        <v>1092</v>
      </c>
      <c r="J406" s="12" t="str">
        <f>HYPERLINK("https://www.boe.es/gazeta/dias/1807/10/06/pdfs/GMD-1807-90.pdf#page=15","Abrir facsímil")</f>
        <v>Abrir facsímil</v>
      </c>
      <c r="K406" s="15" t="s">
        <v>22</v>
      </c>
    </row>
    <row r="407" spans="1:11" ht="42" customHeight="1">
      <c r="A407" s="4" t="s">
        <v>1093</v>
      </c>
      <c r="B407" s="5" t="s">
        <v>1094</v>
      </c>
      <c r="C407" s="5" t="s">
        <v>28</v>
      </c>
      <c r="D407" s="5" t="s">
        <v>29</v>
      </c>
      <c r="E407" s="5" t="s">
        <v>666</v>
      </c>
      <c r="F407" s="9">
        <v>43</v>
      </c>
      <c r="G407" s="9">
        <v>515</v>
      </c>
      <c r="H407" s="5" t="s">
        <v>20</v>
      </c>
      <c r="I407" s="5" t="s">
        <v>1095</v>
      </c>
      <c r="J407" s="12" t="str">
        <f>HYPERLINK("https://www.boe.es/gazeta/dias/1807/05/19/pdfs/GMD-1807-43.pdf#page=9","Abrir facsímil")</f>
        <v>Abrir facsímil</v>
      </c>
      <c r="K407" s="15" t="s">
        <v>22</v>
      </c>
    </row>
    <row r="408" spans="1:11" ht="42" customHeight="1">
      <c r="A408" s="4" t="s">
        <v>1096</v>
      </c>
      <c r="B408" s="5" t="s">
        <v>1096</v>
      </c>
      <c r="C408" s="5" t="s">
        <v>89</v>
      </c>
      <c r="D408" s="5" t="s">
        <v>90</v>
      </c>
      <c r="E408" s="5" t="s">
        <v>361</v>
      </c>
      <c r="F408" s="9">
        <v>113</v>
      </c>
      <c r="G408" s="9">
        <v>1324</v>
      </c>
      <c r="H408" s="5" t="s">
        <v>20</v>
      </c>
      <c r="I408" s="5" t="s">
        <v>1097</v>
      </c>
      <c r="J408" s="12" t="str">
        <f>HYPERLINK("https://www.boe.es/gazeta/dias/1807/12/22/pdfs/GMD-1807-113.pdf#page=12","Abrir facsímil")</f>
        <v>Abrir facsímil</v>
      </c>
      <c r="K408" s="15" t="s">
        <v>22</v>
      </c>
    </row>
    <row r="409" spans="1:11" ht="42" customHeight="1">
      <c r="A409" s="4" t="s">
        <v>1098</v>
      </c>
      <c r="B409" s="5" t="s">
        <v>1099</v>
      </c>
      <c r="C409" s="5" t="s">
        <v>49</v>
      </c>
      <c r="D409" s="5" t="s">
        <v>50</v>
      </c>
      <c r="E409" s="5" t="s">
        <v>572</v>
      </c>
      <c r="F409" s="9">
        <v>14</v>
      </c>
      <c r="G409" s="9">
        <v>159</v>
      </c>
      <c r="H409" s="5" t="s">
        <v>20</v>
      </c>
      <c r="I409" s="5" t="s">
        <v>1100</v>
      </c>
      <c r="J409" s="12" t="str">
        <f>HYPERLINK("https://www.boe.es/gazeta/dias/1807/02/10/pdfs/GMD-1807-14.pdf#page=7","Abrir facsímil")</f>
        <v>Abrir facsímil</v>
      </c>
      <c r="K409" s="15" t="s">
        <v>22</v>
      </c>
    </row>
    <row r="410" spans="1:11" ht="42" customHeight="1">
      <c r="A410" s="4" t="s">
        <v>1101</v>
      </c>
      <c r="B410" s="5" t="s">
        <v>1102</v>
      </c>
      <c r="C410" s="5" t="s">
        <v>34</v>
      </c>
      <c r="D410" s="5" t="s">
        <v>35</v>
      </c>
      <c r="E410" s="5" t="s">
        <v>94</v>
      </c>
      <c r="F410" s="9">
        <v>22</v>
      </c>
      <c r="G410" s="9">
        <v>254</v>
      </c>
      <c r="H410" s="5" t="s">
        <v>20</v>
      </c>
      <c r="I410" s="5" t="s">
        <v>1103</v>
      </c>
      <c r="J410" s="12" t="str">
        <f>HYPERLINK("https://www.boe.es/gazeta/dias/1807/03/06/pdfs/GMD-1807-22.pdf#page=6","Abrir facsímil")</f>
        <v>Abrir facsímil</v>
      </c>
      <c r="K410" s="15" t="s">
        <v>22</v>
      </c>
    </row>
    <row r="411" spans="1:11" ht="42" customHeight="1">
      <c r="A411" s="4" t="s">
        <v>1104</v>
      </c>
      <c r="B411" s="5" t="s">
        <v>1105</v>
      </c>
      <c r="C411" s="5" t="s">
        <v>28</v>
      </c>
      <c r="D411" s="5" t="s">
        <v>29</v>
      </c>
      <c r="E411" s="5" t="s">
        <v>309</v>
      </c>
      <c r="F411" s="9">
        <v>107</v>
      </c>
      <c r="G411" s="9">
        <v>1247</v>
      </c>
      <c r="H411" s="5" t="s">
        <v>20</v>
      </c>
      <c r="I411" s="5" t="s">
        <v>1106</v>
      </c>
      <c r="J411" s="12" t="str">
        <f>HYPERLINK("https://www.boe.es/gazeta/dias/1807/12/01/pdfs/GMD-1807-107.pdf#page=7","Abrir facsímil")</f>
        <v>Abrir facsímil</v>
      </c>
      <c r="K411" s="15" t="s">
        <v>22</v>
      </c>
    </row>
    <row r="412" spans="1:11" ht="42" customHeight="1">
      <c r="A412" s="4" t="s">
        <v>1107</v>
      </c>
      <c r="B412" s="5" t="s">
        <v>1108</v>
      </c>
      <c r="C412" s="5" t="s">
        <v>89</v>
      </c>
      <c r="D412" s="5" t="s">
        <v>90</v>
      </c>
      <c r="E412" s="5" t="s">
        <v>793</v>
      </c>
      <c r="F412" s="9">
        <v>87</v>
      </c>
      <c r="G412" s="9">
        <v>1012</v>
      </c>
      <c r="H412" s="5" t="s">
        <v>20</v>
      </c>
      <c r="I412" s="5" t="s">
        <v>1109</v>
      </c>
      <c r="J412" s="12" t="str">
        <f>HYPERLINK("https://www.boe.es/gazeta/dias/1807/09/29/pdfs/GMD-1807-87.pdf#page=12","Abrir facsímil")</f>
        <v>Abrir facsímil</v>
      </c>
      <c r="K412" s="15" t="s">
        <v>22</v>
      </c>
    </row>
    <row r="413" spans="1:11" ht="42" customHeight="1">
      <c r="A413" s="4" t="s">
        <v>1110</v>
      </c>
      <c r="B413" s="5" t="s">
        <v>1111</v>
      </c>
      <c r="C413" s="5" t="s">
        <v>17</v>
      </c>
      <c r="D413" s="5" t="s">
        <v>18</v>
      </c>
      <c r="E413" s="5" t="s">
        <v>418</v>
      </c>
      <c r="F413" s="9">
        <v>4</v>
      </c>
      <c r="G413" s="9">
        <v>39</v>
      </c>
      <c r="H413" s="5" t="s">
        <v>20</v>
      </c>
      <c r="I413" s="5" t="s">
        <v>1112</v>
      </c>
      <c r="J413" s="12" t="str">
        <f>HYPERLINK("https://www.boe.es/gazeta/dias/1807/01/13/pdfs/GMD-1807-4.pdf#page=7","Abrir facsímil")</f>
        <v>Abrir facsímil</v>
      </c>
      <c r="K413" s="15" t="s">
        <v>22</v>
      </c>
    </row>
    <row r="414" spans="1:11" ht="42" customHeight="1">
      <c r="A414" s="4" t="s">
        <v>1113</v>
      </c>
      <c r="B414" s="5" t="s">
        <v>1114</v>
      </c>
      <c r="C414" s="5" t="s">
        <v>34</v>
      </c>
      <c r="D414" s="5" t="s">
        <v>35</v>
      </c>
      <c r="E414" s="5" t="s">
        <v>91</v>
      </c>
      <c r="F414" s="9">
        <v>109</v>
      </c>
      <c r="G414" s="9">
        <v>1272</v>
      </c>
      <c r="H414" s="5" t="s">
        <v>20</v>
      </c>
      <c r="I414" s="5" t="s">
        <v>1115</v>
      </c>
      <c r="J414" s="12" t="str">
        <f>HYPERLINK("https://www.boe.es/gazeta/dias/1807/12/08/pdfs/GMD-1807-109.pdf#page=8","Abrir facsímil")</f>
        <v>Abrir facsímil</v>
      </c>
      <c r="K414" s="15" t="s">
        <v>22</v>
      </c>
    </row>
    <row r="415" spans="1:11" ht="42" customHeight="1">
      <c r="A415" s="4" t="s">
        <v>1116</v>
      </c>
      <c r="B415" s="5" t="s">
        <v>1117</v>
      </c>
      <c r="C415" s="5" t="s">
        <v>28</v>
      </c>
      <c r="D415" s="5" t="s">
        <v>29</v>
      </c>
      <c r="E415" s="5" t="s">
        <v>346</v>
      </c>
      <c r="F415" s="9">
        <v>21</v>
      </c>
      <c r="G415" s="9">
        <v>246</v>
      </c>
      <c r="H415" s="5" t="s">
        <v>20</v>
      </c>
      <c r="I415" s="5" t="s">
        <v>1118</v>
      </c>
      <c r="J415" s="12" t="str">
        <f>HYPERLINK("https://www.boe.es/gazeta/dias/1807/03/03/pdfs/GMD-1807-21.pdf#page=10","Abrir facsímil")</f>
        <v>Abrir facsímil</v>
      </c>
      <c r="K415" s="15" t="s">
        <v>22</v>
      </c>
    </row>
    <row r="416" spans="1:11" ht="42" customHeight="1">
      <c r="A416" s="4" t="s">
        <v>1119</v>
      </c>
      <c r="B416" s="5" t="s">
        <v>1120</v>
      </c>
      <c r="C416" s="5" t="s">
        <v>24</v>
      </c>
      <c r="D416" s="5" t="s">
        <v>18</v>
      </c>
      <c r="E416" s="5" t="s">
        <v>109</v>
      </c>
      <c r="F416" s="9">
        <v>58</v>
      </c>
      <c r="G416" s="9">
        <v>691</v>
      </c>
      <c r="H416" s="5" t="s">
        <v>20</v>
      </c>
      <c r="I416" s="5" t="s">
        <v>1121</v>
      </c>
      <c r="J416" s="12" t="str">
        <f>HYPERLINK("https://www.boe.es/gazeta/dias/1807/07/07/pdfs/GMD-1807-58.pdf#page=9","Abrir facsímil")</f>
        <v>Abrir facsímil</v>
      </c>
      <c r="K416" s="15" t="s">
        <v>22</v>
      </c>
    </row>
    <row r="417" spans="1:11" ht="42" customHeight="1">
      <c r="A417" s="4" t="s">
        <v>1122</v>
      </c>
      <c r="B417" s="5" t="s">
        <v>1123</v>
      </c>
      <c r="C417" s="5" t="s">
        <v>34</v>
      </c>
      <c r="D417" s="5" t="s">
        <v>35</v>
      </c>
      <c r="E417" s="5" t="s">
        <v>109</v>
      </c>
      <c r="F417" s="9">
        <v>58</v>
      </c>
      <c r="G417" s="9">
        <v>689</v>
      </c>
      <c r="H417" s="5" t="s">
        <v>20</v>
      </c>
      <c r="I417" s="5" t="s">
        <v>1124</v>
      </c>
      <c r="J417" s="12" t="str">
        <f>HYPERLINK("https://www.boe.es/gazeta/dias/1807/07/07/pdfs/GMD-1807-58.pdf#page=7","Abrir facsímil")</f>
        <v>Abrir facsímil</v>
      </c>
      <c r="K417" s="15" t="s">
        <v>22</v>
      </c>
    </row>
    <row r="418" spans="1:11" ht="42" customHeight="1">
      <c r="A418" s="4" t="s">
        <v>1125</v>
      </c>
      <c r="B418" s="5" t="s">
        <v>1125</v>
      </c>
      <c r="C418" s="5" t="s">
        <v>49</v>
      </c>
      <c r="D418" s="5" t="s">
        <v>50</v>
      </c>
      <c r="E418" s="5" t="s">
        <v>441</v>
      </c>
      <c r="F418" s="9">
        <v>92</v>
      </c>
      <c r="G418" s="9">
        <v>1061</v>
      </c>
      <c r="H418" s="5" t="s">
        <v>20</v>
      </c>
      <c r="I418" s="5" t="s">
        <v>1126</v>
      </c>
      <c r="J418" s="12" t="str">
        <f>HYPERLINK("https://www.boe.es/gazeta/dias/1807/10/13/pdfs/GMD-1807-92.pdf#page=1","Abrir facsímil")</f>
        <v>Abrir facsímil</v>
      </c>
      <c r="K418" s="15" t="s">
        <v>22</v>
      </c>
    </row>
    <row r="419" spans="1:11" ht="42" customHeight="1">
      <c r="A419" s="4" t="s">
        <v>1127</v>
      </c>
      <c r="B419" s="5" t="s">
        <v>1127</v>
      </c>
      <c r="C419" s="5" t="s">
        <v>34</v>
      </c>
      <c r="D419" s="5" t="s">
        <v>35</v>
      </c>
      <c r="E419" s="5" t="s">
        <v>390</v>
      </c>
      <c r="F419" s="9">
        <v>24</v>
      </c>
      <c r="G419" s="9">
        <v>285</v>
      </c>
      <c r="H419" s="5" t="s">
        <v>20</v>
      </c>
      <c r="I419" s="5" t="s">
        <v>1128</v>
      </c>
      <c r="J419" s="12" t="str">
        <f>HYPERLINK("https://www.boe.es/gazeta/dias/1807/03/13/pdfs/GMD-1807-24.pdf#page=9","Abrir facsímil")</f>
        <v>Abrir facsímil</v>
      </c>
      <c r="K419" s="15" t="s">
        <v>22</v>
      </c>
    </row>
    <row r="420" spans="1:11" ht="42" customHeight="1">
      <c r="A420" s="4" t="s">
        <v>1129</v>
      </c>
      <c r="B420" s="5" t="s">
        <v>1130</v>
      </c>
      <c r="C420" s="5" t="s">
        <v>34</v>
      </c>
      <c r="D420" s="5" t="s">
        <v>35</v>
      </c>
      <c r="E420" s="5" t="s">
        <v>120</v>
      </c>
      <c r="F420" s="9">
        <v>10</v>
      </c>
      <c r="G420" s="9">
        <v>116</v>
      </c>
      <c r="H420" s="5" t="s">
        <v>20</v>
      </c>
      <c r="I420" s="5" t="s">
        <v>1131</v>
      </c>
      <c r="J420" s="12" t="str">
        <f>HYPERLINK("https://www.boe.es/gazeta/dias/1807/01/27/pdfs/GMD-1807-10.pdf#page=12","Abrir facsímil")</f>
        <v>Abrir facsímil</v>
      </c>
      <c r="K420" s="15" t="s">
        <v>22</v>
      </c>
    </row>
    <row r="421" spans="1:11" ht="42" customHeight="1">
      <c r="A421" s="4" t="s">
        <v>1132</v>
      </c>
      <c r="B421" s="5" t="s">
        <v>1133</v>
      </c>
      <c r="C421" s="5" t="s">
        <v>17</v>
      </c>
      <c r="D421" s="5" t="s">
        <v>18</v>
      </c>
      <c r="E421" s="5" t="s">
        <v>441</v>
      </c>
      <c r="F421" s="9">
        <v>92</v>
      </c>
      <c r="G421" s="9">
        <v>1071</v>
      </c>
      <c r="H421" s="5" t="s">
        <v>20</v>
      </c>
      <c r="I421" s="5" t="s">
        <v>1134</v>
      </c>
      <c r="J421" s="12" t="str">
        <f>HYPERLINK("https://www.boe.es/gazeta/dias/1807/10/13/pdfs/GMD-1807-92.pdf#page=11","Abrir facsímil")</f>
        <v>Abrir facsímil</v>
      </c>
      <c r="K421" s="15" t="s">
        <v>22</v>
      </c>
    </row>
    <row r="422" spans="1:11" ht="42" customHeight="1">
      <c r="A422" s="4" t="s">
        <v>1135</v>
      </c>
      <c r="B422" s="5" t="s">
        <v>1136</v>
      </c>
      <c r="C422" s="5" t="s">
        <v>17</v>
      </c>
      <c r="D422" s="5" t="s">
        <v>18</v>
      </c>
      <c r="E422" s="5" t="s">
        <v>620</v>
      </c>
      <c r="F422" s="9">
        <v>84</v>
      </c>
      <c r="G422" s="9">
        <v>981</v>
      </c>
      <c r="H422" s="5" t="s">
        <v>20</v>
      </c>
      <c r="I422" s="5" t="s">
        <v>1137</v>
      </c>
      <c r="J422" s="12" t="str">
        <f>HYPERLINK("https://www.boe.es/gazeta/dias/1807/09/22/pdfs/GMD-1807-84.pdf#page=9","Abrir facsímil")</f>
        <v>Abrir facsímil</v>
      </c>
      <c r="K422" s="15" t="s">
        <v>22</v>
      </c>
    </row>
    <row r="423" spans="1:11" ht="42" customHeight="1">
      <c r="A423" s="4" t="s">
        <v>1138</v>
      </c>
      <c r="B423" s="5" t="s">
        <v>1139</v>
      </c>
      <c r="C423" s="5" t="s">
        <v>49</v>
      </c>
      <c r="D423" s="5" t="s">
        <v>50</v>
      </c>
      <c r="E423" s="5" t="s">
        <v>393</v>
      </c>
      <c r="F423" s="9">
        <v>15</v>
      </c>
      <c r="G423" s="9">
        <v>171</v>
      </c>
      <c r="H423" s="5" t="s">
        <v>20</v>
      </c>
      <c r="I423" s="5" t="s">
        <v>1140</v>
      </c>
      <c r="J423" s="12" t="str">
        <f>HYPERLINK("https://www.boe.es/gazeta/dias/1807/02/13/pdfs/GMD-1807-15.pdf#page=7","Abrir facsímil")</f>
        <v>Abrir facsímil</v>
      </c>
      <c r="K423" s="15" t="s">
        <v>22</v>
      </c>
    </row>
    <row r="424" spans="1:11" ht="42" customHeight="1">
      <c r="A424" s="4" t="s">
        <v>1141</v>
      </c>
      <c r="B424" s="5" t="s">
        <v>1141</v>
      </c>
      <c r="C424" s="5" t="s">
        <v>49</v>
      </c>
      <c r="D424" s="5" t="s">
        <v>50</v>
      </c>
      <c r="E424" s="5" t="s">
        <v>422</v>
      </c>
      <c r="F424" s="9">
        <v>33</v>
      </c>
      <c r="G424" s="9">
        <v>389</v>
      </c>
      <c r="H424" s="5" t="s">
        <v>20</v>
      </c>
      <c r="I424" s="5" t="s">
        <v>1142</v>
      </c>
      <c r="J424" s="12" t="str">
        <f>HYPERLINK("https://www.boe.es/gazeta/dias/1807/04/14/pdfs/GMD-1807-33.pdf#page=5","Abrir facsímil")</f>
        <v>Abrir facsímil</v>
      </c>
      <c r="K424" s="15" t="s">
        <v>22</v>
      </c>
    </row>
    <row r="425" spans="1:11" ht="42" customHeight="1">
      <c r="A425" s="4" t="s">
        <v>1143</v>
      </c>
      <c r="B425" s="5" t="s">
        <v>1144</v>
      </c>
      <c r="C425" s="5" t="s">
        <v>89</v>
      </c>
      <c r="D425" s="5" t="s">
        <v>90</v>
      </c>
      <c r="E425" s="5" t="s">
        <v>929</v>
      </c>
      <c r="F425" s="9">
        <v>85</v>
      </c>
      <c r="G425" s="9">
        <v>996</v>
      </c>
      <c r="H425" s="5" t="s">
        <v>20</v>
      </c>
      <c r="I425" s="5" t="s">
        <v>1145</v>
      </c>
      <c r="J425" s="12" t="str">
        <f>HYPERLINK("https://www.boe.es/gazeta/dias/1807/09/25/pdfs/GMD-1807-85.pdf#page=12","Abrir facsímil")</f>
        <v>Abrir facsímil</v>
      </c>
      <c r="K425" s="15" t="s">
        <v>22</v>
      </c>
    </row>
    <row r="426" spans="1:11" ht="42" customHeight="1">
      <c r="A426" s="4" t="s">
        <v>1146</v>
      </c>
      <c r="B426" s="5" t="s">
        <v>1147</v>
      </c>
      <c r="C426" s="5" t="s">
        <v>28</v>
      </c>
      <c r="D426" s="5" t="s">
        <v>29</v>
      </c>
      <c r="E426" s="5" t="s">
        <v>224</v>
      </c>
      <c r="F426" s="9">
        <v>91</v>
      </c>
      <c r="G426" s="9">
        <v>1059</v>
      </c>
      <c r="H426" s="5" t="s">
        <v>20</v>
      </c>
      <c r="I426" s="5" t="s">
        <v>1148</v>
      </c>
      <c r="J426" s="12" t="str">
        <f>HYPERLINK("https://www.boe.es/gazeta/dias/1807/10/09/pdfs/GMD-1807-91.pdf#page=11","Abrir facsímil")</f>
        <v>Abrir facsímil</v>
      </c>
      <c r="K426" s="15" t="s">
        <v>22</v>
      </c>
    </row>
    <row r="427" spans="1:11" ht="42" customHeight="1">
      <c r="A427" s="4" t="s">
        <v>1149</v>
      </c>
      <c r="B427" s="5" t="s">
        <v>1150</v>
      </c>
      <c r="C427" s="5" t="s">
        <v>34</v>
      </c>
      <c r="D427" s="5" t="s">
        <v>35</v>
      </c>
      <c r="E427" s="5" t="s">
        <v>114</v>
      </c>
      <c r="F427" s="9">
        <v>46</v>
      </c>
      <c r="G427" s="9">
        <v>548</v>
      </c>
      <c r="H427" s="5" t="s">
        <v>20</v>
      </c>
      <c r="I427" s="5" t="s">
        <v>1151</v>
      </c>
      <c r="J427" s="12" t="str">
        <f>HYPERLINK("https://www.boe.es/gazeta/dias/1807/05/29/pdfs/GMD-1807-46.pdf#page=6","Abrir facsímil")</f>
        <v>Abrir facsímil</v>
      </c>
      <c r="K427" s="15" t="s">
        <v>22</v>
      </c>
    </row>
    <row r="428" spans="1:11" ht="42" customHeight="1">
      <c r="A428" s="4" t="s">
        <v>1152</v>
      </c>
      <c r="B428" s="5" t="s">
        <v>1152</v>
      </c>
      <c r="C428" s="5" t="s">
        <v>89</v>
      </c>
      <c r="D428" s="5" t="s">
        <v>90</v>
      </c>
      <c r="E428" s="5" t="s">
        <v>51</v>
      </c>
      <c r="F428" s="9">
        <v>62</v>
      </c>
      <c r="G428" s="9">
        <v>734</v>
      </c>
      <c r="H428" s="5" t="s">
        <v>20</v>
      </c>
      <c r="I428" s="5" t="s">
        <v>1153</v>
      </c>
      <c r="J428" s="12" t="str">
        <f>HYPERLINK("https://www.boe.es/gazeta/dias/1807/07/17/pdfs/GMD-1807-62.pdf#page=8","Abrir facsímil")</f>
        <v>Abrir facsímil</v>
      </c>
      <c r="K428" s="15" t="s">
        <v>22</v>
      </c>
    </row>
    <row r="429" spans="1:11" ht="42" customHeight="1">
      <c r="A429" s="4" t="s">
        <v>1154</v>
      </c>
      <c r="B429" s="5" t="s">
        <v>1155</v>
      </c>
      <c r="C429" s="5" t="s">
        <v>34</v>
      </c>
      <c r="D429" s="5" t="s">
        <v>35</v>
      </c>
      <c r="E429" s="5" t="s">
        <v>25</v>
      </c>
      <c r="F429" s="9">
        <v>45</v>
      </c>
      <c r="G429" s="9">
        <v>537</v>
      </c>
      <c r="H429" s="5" t="s">
        <v>20</v>
      </c>
      <c r="I429" s="5" t="s">
        <v>1156</v>
      </c>
      <c r="J429" s="12" t="str">
        <f>HYPERLINK("https://www.boe.es/gazeta/dias/1807/05/26/pdfs/GMD-1807-45.pdf#page=7","Abrir facsímil")</f>
        <v>Abrir facsímil</v>
      </c>
      <c r="K429" s="15" t="s">
        <v>22</v>
      </c>
    </row>
    <row r="430" spans="1:11" ht="42" customHeight="1">
      <c r="A430" s="4" t="s">
        <v>1157</v>
      </c>
      <c r="B430" s="5" t="s">
        <v>1158</v>
      </c>
      <c r="C430" s="5" t="s">
        <v>28</v>
      </c>
      <c r="D430" s="5" t="s">
        <v>29</v>
      </c>
      <c r="E430" s="5" t="s">
        <v>346</v>
      </c>
      <c r="F430" s="9">
        <v>21</v>
      </c>
      <c r="G430" s="9">
        <v>245</v>
      </c>
      <c r="H430" s="5" t="s">
        <v>20</v>
      </c>
      <c r="I430" s="5" t="s">
        <v>1159</v>
      </c>
      <c r="J430" s="12" t="str">
        <f>HYPERLINK("https://www.boe.es/gazeta/dias/1807/03/03/pdfs/GMD-1807-21.pdf#page=9","Abrir facsímil")</f>
        <v>Abrir facsímil</v>
      </c>
      <c r="K430" s="15" t="s">
        <v>22</v>
      </c>
    </row>
    <row r="431" spans="1:11" ht="42" customHeight="1">
      <c r="A431" s="4" t="s">
        <v>1160</v>
      </c>
      <c r="B431" s="5" t="s">
        <v>1160</v>
      </c>
      <c r="C431" s="5" t="s">
        <v>24</v>
      </c>
      <c r="D431" s="5" t="s">
        <v>18</v>
      </c>
      <c r="E431" s="5" t="s">
        <v>86</v>
      </c>
      <c r="F431" s="9">
        <v>12</v>
      </c>
      <c r="G431" s="9">
        <v>139</v>
      </c>
      <c r="H431" s="5" t="s">
        <v>20</v>
      </c>
      <c r="I431" s="5" t="s">
        <v>1161</v>
      </c>
      <c r="J431" s="12" t="str">
        <f>HYPERLINK("https://www.boe.es/gazeta/dias/1807/02/03/pdfs/GMD-1807-12.pdf#page=11","Abrir facsímil")</f>
        <v>Abrir facsímil</v>
      </c>
      <c r="K431" s="15" t="s">
        <v>22</v>
      </c>
    </row>
    <row r="432" spans="1:11" ht="42" customHeight="1">
      <c r="A432" s="4" t="s">
        <v>1162</v>
      </c>
      <c r="B432" s="5" t="s">
        <v>1162</v>
      </c>
      <c r="C432" s="5" t="s">
        <v>69</v>
      </c>
      <c r="D432" s="5" t="s">
        <v>70</v>
      </c>
      <c r="E432" s="5" t="s">
        <v>71</v>
      </c>
      <c r="F432" s="9">
        <v>35</v>
      </c>
      <c r="G432" s="9" t="s">
        <v>72</v>
      </c>
      <c r="H432" s="5" t="s">
        <v>20</v>
      </c>
      <c r="I432" s="5" t="s">
        <v>1163</v>
      </c>
      <c r="J432" s="12" t="str">
        <f>HYPERLINK("https://www.boe.es/gazeta/dias/1807/04/21/pdfs/C00001-00004.pdf#page=1","Abrir facsímil")</f>
        <v>Abrir facsímil</v>
      </c>
      <c r="K432" s="15" t="s">
        <v>22</v>
      </c>
    </row>
    <row r="433" spans="1:11" ht="42" customHeight="1">
      <c r="A433" s="4" t="s">
        <v>1164</v>
      </c>
      <c r="B433" s="5" t="s">
        <v>1164</v>
      </c>
      <c r="C433" s="5" t="s">
        <v>28</v>
      </c>
      <c r="D433" s="5" t="s">
        <v>29</v>
      </c>
      <c r="E433" s="5" t="s">
        <v>42</v>
      </c>
      <c r="F433" s="9">
        <v>31</v>
      </c>
      <c r="G433" s="9">
        <v>367</v>
      </c>
      <c r="H433" s="5" t="s">
        <v>20</v>
      </c>
      <c r="I433" s="5" t="s">
        <v>1165</v>
      </c>
      <c r="J433" s="12" t="str">
        <f>HYPERLINK("https://www.boe.es/gazeta/dias/1807/04/07/pdfs/GMD-1807-31.pdf#page=7","Abrir facsímil")</f>
        <v>Abrir facsímil</v>
      </c>
      <c r="K433" s="15" t="s">
        <v>22</v>
      </c>
    </row>
    <row r="434" spans="1:11" ht="42" customHeight="1">
      <c r="A434" s="4" t="s">
        <v>1164</v>
      </c>
      <c r="B434" s="5" t="s">
        <v>1164</v>
      </c>
      <c r="C434" s="5" t="s">
        <v>28</v>
      </c>
      <c r="D434" s="5" t="s">
        <v>29</v>
      </c>
      <c r="E434" s="5" t="s">
        <v>186</v>
      </c>
      <c r="F434" s="9">
        <v>72</v>
      </c>
      <c r="G434" s="9">
        <v>828</v>
      </c>
      <c r="H434" s="5" t="s">
        <v>20</v>
      </c>
      <c r="I434" s="5" t="s">
        <v>1166</v>
      </c>
      <c r="J434" s="12" t="str">
        <f>HYPERLINK("https://www.boe.es/gazeta/dias/1807/08/11/pdfs/GMD-1807-72.pdf#page=8","Abrir facsímil")</f>
        <v>Abrir facsímil</v>
      </c>
      <c r="K434" s="15" t="s">
        <v>22</v>
      </c>
    </row>
    <row r="435" spans="1:11" ht="42" customHeight="1">
      <c r="A435" s="4" t="s">
        <v>1167</v>
      </c>
      <c r="B435" s="5" t="s">
        <v>1168</v>
      </c>
      <c r="C435" s="5" t="s">
        <v>17</v>
      </c>
      <c r="D435" s="5" t="s">
        <v>18</v>
      </c>
      <c r="E435" s="5" t="s">
        <v>567</v>
      </c>
      <c r="F435" s="9">
        <v>55</v>
      </c>
      <c r="G435" s="9">
        <v>659</v>
      </c>
      <c r="H435" s="5" t="s">
        <v>20</v>
      </c>
      <c r="I435" s="5" t="s">
        <v>1169</v>
      </c>
      <c r="J435" s="12" t="str">
        <f>HYPERLINK("https://www.boe.es/gazeta/dias/1807/06/30/pdfs/GMD-1807-55.pdf#page=9","Abrir facsímil")</f>
        <v>Abrir facsímil</v>
      </c>
      <c r="K435" s="15" t="s">
        <v>22</v>
      </c>
    </row>
    <row r="436" spans="1:11" ht="42" customHeight="1">
      <c r="A436" s="4" t="s">
        <v>1170</v>
      </c>
      <c r="B436" s="5" t="s">
        <v>1171</v>
      </c>
      <c r="C436" s="5" t="s">
        <v>24</v>
      </c>
      <c r="D436" s="5" t="s">
        <v>18</v>
      </c>
      <c r="E436" s="5" t="s">
        <v>152</v>
      </c>
      <c r="F436" s="9">
        <v>61</v>
      </c>
      <c r="G436" s="9">
        <v>722</v>
      </c>
      <c r="H436" s="5" t="s">
        <v>20</v>
      </c>
      <c r="I436" s="5" t="s">
        <v>1172</v>
      </c>
      <c r="J436" s="12" t="str">
        <f>HYPERLINK("https://www.boe.es/gazeta/dias/1807/07/14/pdfs/GMD-1807-61.pdf#page=8","Abrir facsímil")</f>
        <v>Abrir facsímil</v>
      </c>
      <c r="K436" s="15" t="s">
        <v>22</v>
      </c>
    </row>
    <row r="437" spans="1:11" ht="42" customHeight="1">
      <c r="A437" s="4" t="s">
        <v>1173</v>
      </c>
      <c r="B437" s="5" t="s">
        <v>1173</v>
      </c>
      <c r="C437" s="5" t="s">
        <v>89</v>
      </c>
      <c r="D437" s="5" t="s">
        <v>90</v>
      </c>
      <c r="E437" s="5" t="s">
        <v>120</v>
      </c>
      <c r="F437" s="9">
        <v>10</v>
      </c>
      <c r="G437" s="9">
        <v>116</v>
      </c>
      <c r="H437" s="5" t="s">
        <v>20</v>
      </c>
      <c r="I437" s="5" t="s">
        <v>1174</v>
      </c>
      <c r="J437" s="12" t="str">
        <f>HYPERLINK("https://www.boe.es/gazeta/dias/1807/01/27/pdfs/GMD-1807-10.pdf#page=12","Abrir facsímil")</f>
        <v>Abrir facsímil</v>
      </c>
      <c r="K437" s="15" t="s">
        <v>22</v>
      </c>
    </row>
    <row r="438" spans="1:11" ht="42" customHeight="1">
      <c r="A438" s="4" t="s">
        <v>1173</v>
      </c>
      <c r="B438" s="5" t="s">
        <v>1173</v>
      </c>
      <c r="C438" s="5" t="s">
        <v>89</v>
      </c>
      <c r="D438" s="5" t="s">
        <v>90</v>
      </c>
      <c r="E438" s="5" t="s">
        <v>595</v>
      </c>
      <c r="F438" s="9">
        <v>59</v>
      </c>
      <c r="G438" s="9">
        <v>706</v>
      </c>
      <c r="H438" s="5" t="s">
        <v>20</v>
      </c>
      <c r="I438" s="5" t="s">
        <v>1175</v>
      </c>
      <c r="J438" s="12" t="str">
        <f>HYPERLINK("https://www.boe.es/gazeta/dias/1807/07/10/pdfs/GMD-1807-59.pdf#page=12","Abrir facsímil")</f>
        <v>Abrir facsímil</v>
      </c>
      <c r="K438" s="15" t="s">
        <v>22</v>
      </c>
    </row>
    <row r="439" spans="1:11" ht="42" customHeight="1">
      <c r="A439" s="4" t="s">
        <v>1176</v>
      </c>
      <c r="B439" s="5" t="s">
        <v>1176</v>
      </c>
      <c r="C439" s="5" t="s">
        <v>49</v>
      </c>
      <c r="D439" s="5" t="s">
        <v>50</v>
      </c>
      <c r="E439" s="5" t="s">
        <v>1177</v>
      </c>
      <c r="F439" s="9">
        <v>101</v>
      </c>
      <c r="G439" s="9">
        <v>1174</v>
      </c>
      <c r="H439" s="5" t="s">
        <v>20</v>
      </c>
      <c r="I439" s="5" t="s">
        <v>1178</v>
      </c>
      <c r="J439" s="12" t="str">
        <f>HYPERLINK("https://www.boe.es/gazeta/dias/1807/11/13/pdfs/GMD-1807-101.pdf#page=6","Abrir facsímil")</f>
        <v>Abrir facsímil</v>
      </c>
      <c r="K439" s="15" t="s">
        <v>22</v>
      </c>
    </row>
    <row r="440" spans="1:11" ht="42" customHeight="1">
      <c r="A440" s="4" t="s">
        <v>1179</v>
      </c>
      <c r="B440" s="5" t="s">
        <v>1179</v>
      </c>
      <c r="C440" s="5" t="s">
        <v>49</v>
      </c>
      <c r="D440" s="5" t="s">
        <v>50</v>
      </c>
      <c r="E440" s="5" t="s">
        <v>567</v>
      </c>
      <c r="F440" s="9">
        <v>55</v>
      </c>
      <c r="G440" s="9">
        <v>655</v>
      </c>
      <c r="H440" s="5" t="s">
        <v>20</v>
      </c>
      <c r="I440" s="5" t="s">
        <v>1180</v>
      </c>
      <c r="J440" s="12" t="str">
        <f>HYPERLINK("https://www.boe.es/gazeta/dias/1807/06/30/pdfs/GMD-1807-55.pdf#page=5","Abrir facsímil")</f>
        <v>Abrir facsímil</v>
      </c>
      <c r="K440" s="15" t="s">
        <v>22</v>
      </c>
    </row>
    <row r="441" spans="1:11" ht="42" customHeight="1">
      <c r="A441" s="4" t="s">
        <v>1181</v>
      </c>
      <c r="B441" s="5" t="s">
        <v>1182</v>
      </c>
      <c r="C441" s="5" t="s">
        <v>34</v>
      </c>
      <c r="D441" s="5" t="s">
        <v>35</v>
      </c>
      <c r="E441" s="5" t="s">
        <v>30</v>
      </c>
      <c r="F441" s="9">
        <v>13</v>
      </c>
      <c r="G441" s="9">
        <v>149</v>
      </c>
      <c r="H441" s="5" t="s">
        <v>20</v>
      </c>
      <c r="I441" s="5" t="s">
        <v>1183</v>
      </c>
      <c r="J441" s="12" t="str">
        <f>HYPERLINK("https://www.boe.es/gazeta/dias/1807/02/06/pdfs/GMD-1807-13.pdf#page=9","Abrir facsímil")</f>
        <v>Abrir facsímil</v>
      </c>
      <c r="K441" s="15" t="s">
        <v>22</v>
      </c>
    </row>
    <row r="442" spans="1:11" ht="42" customHeight="1">
      <c r="A442" s="4" t="s">
        <v>1184</v>
      </c>
      <c r="B442" s="5" t="s">
        <v>1185</v>
      </c>
      <c r="C442" s="5" t="s">
        <v>49</v>
      </c>
      <c r="D442" s="5" t="s">
        <v>50</v>
      </c>
      <c r="E442" s="5" t="s">
        <v>86</v>
      </c>
      <c r="F442" s="9">
        <v>12</v>
      </c>
      <c r="G442" s="9">
        <v>134</v>
      </c>
      <c r="H442" s="5" t="s">
        <v>20</v>
      </c>
      <c r="I442" s="5" t="s">
        <v>1186</v>
      </c>
      <c r="J442" s="12" t="str">
        <f>HYPERLINK("https://www.boe.es/gazeta/dias/1807/02/03/pdfs/GMD-1807-12.pdf#page=6","Abrir facsímil")</f>
        <v>Abrir facsímil</v>
      </c>
      <c r="K442" s="15" t="s">
        <v>22</v>
      </c>
    </row>
    <row r="443" spans="1:11" ht="42" customHeight="1">
      <c r="A443" s="4" t="s">
        <v>1184</v>
      </c>
      <c r="B443" s="5" t="s">
        <v>1185</v>
      </c>
      <c r="C443" s="5" t="s">
        <v>252</v>
      </c>
      <c r="D443" s="5" t="s">
        <v>253</v>
      </c>
      <c r="E443" s="5" t="s">
        <v>1187</v>
      </c>
      <c r="F443" s="9" t="s">
        <v>1188</v>
      </c>
      <c r="G443" s="9">
        <v>680</v>
      </c>
      <c r="H443" s="5" t="s">
        <v>20</v>
      </c>
      <c r="I443" s="5" t="s">
        <v>1189</v>
      </c>
      <c r="J443" s="12" t="str">
        <f>HYPERLINK("https://www.boe.es/gazeta/dias/1807/07/04/pdfs/GMD-1807-57E.pdf#page=6","Abrir facsímil")</f>
        <v>Abrir facsímil</v>
      </c>
      <c r="K443" s="15" t="s">
        <v>22</v>
      </c>
    </row>
    <row r="444" spans="1:11" ht="42" customHeight="1">
      <c r="A444" s="4" t="s">
        <v>1184</v>
      </c>
      <c r="B444" s="5" t="s">
        <v>1185</v>
      </c>
      <c r="C444" s="5" t="s">
        <v>49</v>
      </c>
      <c r="D444" s="5" t="s">
        <v>50</v>
      </c>
      <c r="E444" s="5" t="s">
        <v>46</v>
      </c>
      <c r="F444" s="9">
        <v>78</v>
      </c>
      <c r="G444" s="9">
        <v>902</v>
      </c>
      <c r="H444" s="5" t="s">
        <v>20</v>
      </c>
      <c r="I444" s="5" t="s">
        <v>1190</v>
      </c>
      <c r="J444" s="12" t="str">
        <f>HYPERLINK("https://www.boe.es/gazeta/dias/1807/09/01/pdfs/GMD-1807-78.pdf#page=6","Abrir facsímil")</f>
        <v>Abrir facsímil</v>
      </c>
      <c r="K444" s="15" t="s">
        <v>22</v>
      </c>
    </row>
    <row r="445" spans="1:11" ht="42" customHeight="1">
      <c r="A445" s="4" t="s">
        <v>1191</v>
      </c>
      <c r="B445" s="5" t="s">
        <v>1192</v>
      </c>
      <c r="C445" s="5" t="s">
        <v>89</v>
      </c>
      <c r="D445" s="5" t="s">
        <v>90</v>
      </c>
      <c r="E445" s="5" t="s">
        <v>111</v>
      </c>
      <c r="F445" s="9">
        <v>90</v>
      </c>
      <c r="G445" s="9">
        <v>1047</v>
      </c>
      <c r="H445" s="5" t="s">
        <v>20</v>
      </c>
      <c r="I445" s="5" t="s">
        <v>1193</v>
      </c>
      <c r="J445" s="12" t="str">
        <f>HYPERLINK("https://www.boe.es/gazeta/dias/1807/10/06/pdfs/GMD-1807-90.pdf#page=15","Abrir facsímil")</f>
        <v>Abrir facsímil</v>
      </c>
      <c r="K445" s="15" t="s">
        <v>22</v>
      </c>
    </row>
    <row r="446" spans="1:11" ht="42" customHeight="1">
      <c r="A446" s="4" t="s">
        <v>1194</v>
      </c>
      <c r="B446" s="5" t="s">
        <v>1195</v>
      </c>
      <c r="C446" s="5" t="s">
        <v>17</v>
      </c>
      <c r="D446" s="5" t="s">
        <v>18</v>
      </c>
      <c r="E446" s="5" t="s">
        <v>98</v>
      </c>
      <c r="F446" s="9">
        <v>34</v>
      </c>
      <c r="G446" s="9">
        <v>404</v>
      </c>
      <c r="H446" s="5" t="s">
        <v>20</v>
      </c>
      <c r="I446" s="5" t="s">
        <v>1196</v>
      </c>
      <c r="J446" s="12" t="str">
        <f>HYPERLINK("https://www.boe.es/gazeta/dias/1807/04/17/pdfs/GMD-1807-34.pdf#page=8","Abrir facsímil")</f>
        <v>Abrir facsímil</v>
      </c>
      <c r="K446" s="15" t="s">
        <v>22</v>
      </c>
    </row>
    <row r="447" spans="1:11" ht="42" customHeight="1">
      <c r="A447" s="4" t="s">
        <v>1197</v>
      </c>
      <c r="B447" s="5" t="s">
        <v>1197</v>
      </c>
      <c r="C447" s="5" t="s">
        <v>49</v>
      </c>
      <c r="D447" s="5" t="s">
        <v>50</v>
      </c>
      <c r="E447" s="5" t="s">
        <v>109</v>
      </c>
      <c r="F447" s="9">
        <v>58</v>
      </c>
      <c r="G447" s="9">
        <v>684</v>
      </c>
      <c r="H447" s="5" t="s">
        <v>20</v>
      </c>
      <c r="I447" s="5" t="s">
        <v>1198</v>
      </c>
      <c r="J447" s="12" t="str">
        <f>HYPERLINK("https://www.boe.es/gazeta/dias/1807/07/07/pdfs/GMD-1807-58.pdf#page=2","Abrir facsímil")</f>
        <v>Abrir facsímil</v>
      </c>
      <c r="K447" s="15" t="s">
        <v>22</v>
      </c>
    </row>
    <row r="448" spans="1:11" ht="42" customHeight="1">
      <c r="A448" s="4" t="s">
        <v>1199</v>
      </c>
      <c r="B448" s="5" t="s">
        <v>1199</v>
      </c>
      <c r="C448" s="5" t="s">
        <v>28</v>
      </c>
      <c r="D448" s="5" t="s">
        <v>29</v>
      </c>
      <c r="E448" s="5" t="s">
        <v>346</v>
      </c>
      <c r="F448" s="9">
        <v>21</v>
      </c>
      <c r="G448" s="9">
        <v>244</v>
      </c>
      <c r="H448" s="5" t="s">
        <v>20</v>
      </c>
      <c r="I448" s="5" t="s">
        <v>1200</v>
      </c>
      <c r="J448" s="12" t="str">
        <f>HYPERLINK("https://www.boe.es/gazeta/dias/1807/03/03/pdfs/GMD-1807-21.pdf#page=8","Abrir facsímil")</f>
        <v>Abrir facsímil</v>
      </c>
      <c r="K448" s="15" t="s">
        <v>22</v>
      </c>
    </row>
    <row r="449" spans="1:11" ht="42" customHeight="1">
      <c r="A449" s="4" t="s">
        <v>1201</v>
      </c>
      <c r="B449" s="5" t="s">
        <v>1201</v>
      </c>
      <c r="C449" s="5" t="s">
        <v>89</v>
      </c>
      <c r="D449" s="5" t="s">
        <v>90</v>
      </c>
      <c r="E449" s="5" t="s">
        <v>654</v>
      </c>
      <c r="F449" s="9">
        <v>94</v>
      </c>
      <c r="G449" s="9">
        <v>1090</v>
      </c>
      <c r="H449" s="5" t="s">
        <v>20</v>
      </c>
      <c r="I449" s="5" t="s">
        <v>1202</v>
      </c>
      <c r="J449" s="12" t="str">
        <f>HYPERLINK("https://www.boe.es/gazeta/dias/1807/10/20/pdfs/GMD-1807-94.pdf#page=6","Abrir facsímil")</f>
        <v>Abrir facsímil</v>
      </c>
      <c r="K449" s="15" t="s">
        <v>22</v>
      </c>
    </row>
    <row r="450" spans="1:11" ht="42" customHeight="1">
      <c r="A450" s="4" t="s">
        <v>1203</v>
      </c>
      <c r="B450" s="5" t="s">
        <v>1204</v>
      </c>
      <c r="C450" s="5" t="s">
        <v>34</v>
      </c>
      <c r="D450" s="5" t="s">
        <v>35</v>
      </c>
      <c r="E450" s="5" t="s">
        <v>156</v>
      </c>
      <c r="F450" s="9">
        <v>74</v>
      </c>
      <c r="G450" s="9">
        <v>857</v>
      </c>
      <c r="H450" s="5" t="s">
        <v>20</v>
      </c>
      <c r="I450" s="5" t="s">
        <v>1205</v>
      </c>
      <c r="J450" s="12" t="str">
        <f>HYPERLINK("https://www.boe.es/gazeta/dias/1807/08/18/pdfs/GMD-1807-74.pdf#page=9","Abrir facsímil")</f>
        <v>Abrir facsímil</v>
      </c>
      <c r="K450" s="15" t="s">
        <v>22</v>
      </c>
    </row>
    <row r="451" spans="1:11" ht="42" customHeight="1">
      <c r="A451" s="4" t="s">
        <v>1206</v>
      </c>
      <c r="B451" s="5" t="s">
        <v>1207</v>
      </c>
      <c r="C451" s="5" t="s">
        <v>28</v>
      </c>
      <c r="D451" s="5" t="s">
        <v>29</v>
      </c>
      <c r="E451" s="5" t="s">
        <v>127</v>
      </c>
      <c r="F451" s="9">
        <v>81</v>
      </c>
      <c r="G451" s="9">
        <v>948</v>
      </c>
      <c r="H451" s="5" t="s">
        <v>20</v>
      </c>
      <c r="I451" s="5" t="s">
        <v>1208</v>
      </c>
      <c r="J451" s="12" t="str">
        <f>HYPERLINK("https://www.boe.es/gazeta/dias/1807/09/11/pdfs/GMD-1807-81.pdf#page=12","Abrir facsímil")</f>
        <v>Abrir facsímil</v>
      </c>
      <c r="K451" s="15" t="s">
        <v>22</v>
      </c>
    </row>
    <row r="452" spans="1:11" ht="42" customHeight="1">
      <c r="A452" s="4" t="s">
        <v>1206</v>
      </c>
      <c r="B452" s="5" t="s">
        <v>1207</v>
      </c>
      <c r="C452" s="5" t="s">
        <v>89</v>
      </c>
      <c r="D452" s="5" t="s">
        <v>90</v>
      </c>
      <c r="E452" s="5" t="s">
        <v>754</v>
      </c>
      <c r="F452" s="9">
        <v>103</v>
      </c>
      <c r="G452" s="9">
        <v>1204</v>
      </c>
      <c r="H452" s="5" t="s">
        <v>20</v>
      </c>
      <c r="I452" s="5" t="s">
        <v>1209</v>
      </c>
      <c r="J452" s="12" t="str">
        <f>HYPERLINK("https://www.boe.es/gazeta/dias/1807/11/20/pdfs/GMD-1807-103.pdf#page=12","Abrir facsímil")</f>
        <v>Abrir facsímil</v>
      </c>
      <c r="K452" s="15" t="s">
        <v>22</v>
      </c>
    </row>
    <row r="453" spans="1:11" ht="42" customHeight="1">
      <c r="A453" s="4" t="s">
        <v>1210</v>
      </c>
      <c r="B453" s="5" t="s">
        <v>1210</v>
      </c>
      <c r="C453" s="5" t="s">
        <v>28</v>
      </c>
      <c r="D453" s="5" t="s">
        <v>29</v>
      </c>
      <c r="E453" s="5" t="s">
        <v>139</v>
      </c>
      <c r="F453" s="9">
        <v>110</v>
      </c>
      <c r="G453" s="9">
        <v>1280</v>
      </c>
      <c r="H453" s="5" t="s">
        <v>20</v>
      </c>
      <c r="I453" s="5" t="s">
        <v>1211</v>
      </c>
      <c r="J453" s="12" t="str">
        <f>HYPERLINK("https://www.boe.es/gazeta/dias/1807/12/11/pdfs/GMD-1807-110.pdf#page=4","Abrir facsímil")</f>
        <v>Abrir facsímil</v>
      </c>
      <c r="K453" s="15" t="s">
        <v>22</v>
      </c>
    </row>
    <row r="454" spans="1:11" ht="42" customHeight="1">
      <c r="A454" s="4" t="s">
        <v>1212</v>
      </c>
      <c r="B454" s="5" t="s">
        <v>1212</v>
      </c>
      <c r="C454" s="5" t="s">
        <v>49</v>
      </c>
      <c r="D454" s="5" t="s">
        <v>50</v>
      </c>
      <c r="E454" s="5" t="s">
        <v>361</v>
      </c>
      <c r="F454" s="9">
        <v>113</v>
      </c>
      <c r="G454" s="9">
        <v>1316</v>
      </c>
      <c r="H454" s="5" t="s">
        <v>20</v>
      </c>
      <c r="I454" s="5" t="s">
        <v>1213</v>
      </c>
      <c r="J454" s="12" t="str">
        <f>HYPERLINK("https://www.boe.es/gazeta/dias/1807/12/22/pdfs/GMD-1807-113.pdf#page=4","Abrir facsímil")</f>
        <v>Abrir facsímil</v>
      </c>
      <c r="K454" s="15" t="s">
        <v>22</v>
      </c>
    </row>
    <row r="455" spans="1:11" ht="42" customHeight="1">
      <c r="A455" s="4" t="s">
        <v>1214</v>
      </c>
      <c r="B455" s="5" t="s">
        <v>1214</v>
      </c>
      <c r="C455" s="5" t="s">
        <v>49</v>
      </c>
      <c r="D455" s="5" t="s">
        <v>50</v>
      </c>
      <c r="E455" s="5" t="s">
        <v>186</v>
      </c>
      <c r="F455" s="9">
        <v>72</v>
      </c>
      <c r="G455" s="9">
        <v>822</v>
      </c>
      <c r="H455" s="5" t="s">
        <v>20</v>
      </c>
      <c r="I455" s="5" t="s">
        <v>1215</v>
      </c>
      <c r="J455" s="12" t="str">
        <f>HYPERLINK("https://www.boe.es/gazeta/dias/1807/08/11/pdfs/GMD-1807-72.pdf#page=2","Abrir facsímil")</f>
        <v>Abrir facsímil</v>
      </c>
      <c r="K455" s="15" t="s">
        <v>22</v>
      </c>
    </row>
    <row r="456" spans="1:11" ht="42" customHeight="1">
      <c r="A456" s="4" t="s">
        <v>1216</v>
      </c>
      <c r="B456" s="5" t="s">
        <v>1216</v>
      </c>
      <c r="C456" s="5" t="s">
        <v>252</v>
      </c>
      <c r="D456" s="5" t="s">
        <v>253</v>
      </c>
      <c r="E456" s="5" t="s">
        <v>534</v>
      </c>
      <c r="F456" s="9" t="s">
        <v>535</v>
      </c>
      <c r="G456" s="9">
        <v>102</v>
      </c>
      <c r="H456" s="5" t="s">
        <v>20</v>
      </c>
      <c r="I456" s="5" t="s">
        <v>1217</v>
      </c>
      <c r="J456" s="12" t="str">
        <f>HYPERLINK("https://www.boe.es/gazeta/dias/1807/01/24/pdfs/GMD-1807-9E.pdf#page=6","Abrir facsímil")</f>
        <v>Abrir facsímil</v>
      </c>
      <c r="K456" s="15" t="s">
        <v>22</v>
      </c>
    </row>
    <row r="457" spans="1:11" ht="42" customHeight="1">
      <c r="A457" s="4" t="s">
        <v>1218</v>
      </c>
      <c r="B457" s="5" t="s">
        <v>1218</v>
      </c>
      <c r="C457" s="5" t="s">
        <v>49</v>
      </c>
      <c r="D457" s="5" t="s">
        <v>50</v>
      </c>
      <c r="E457" s="5" t="s">
        <v>754</v>
      </c>
      <c r="F457" s="9">
        <v>103</v>
      </c>
      <c r="G457" s="9">
        <v>1197</v>
      </c>
      <c r="H457" s="5" t="s">
        <v>20</v>
      </c>
      <c r="I457" s="5" t="s">
        <v>1219</v>
      </c>
      <c r="J457" s="12" t="str">
        <f>HYPERLINK("https://www.boe.es/gazeta/dias/1807/11/20/pdfs/GMD-1807-103.pdf#page=5","Abrir facsímil")</f>
        <v>Abrir facsímil</v>
      </c>
      <c r="K457" s="15" t="s">
        <v>22</v>
      </c>
    </row>
    <row r="458" spans="1:11" ht="42" customHeight="1">
      <c r="A458" s="4" t="s">
        <v>1220</v>
      </c>
      <c r="B458" s="5" t="s">
        <v>1221</v>
      </c>
      <c r="C458" s="5" t="s">
        <v>34</v>
      </c>
      <c r="D458" s="5" t="s">
        <v>35</v>
      </c>
      <c r="E458" s="5" t="s">
        <v>259</v>
      </c>
      <c r="F458" s="9">
        <v>3</v>
      </c>
      <c r="G458" s="9">
        <v>27</v>
      </c>
      <c r="H458" s="5" t="s">
        <v>20</v>
      </c>
      <c r="I458" s="5" t="s">
        <v>1222</v>
      </c>
      <c r="J458" s="12" t="str">
        <f>HYPERLINK("https://www.boe.es/gazeta/dias/1807/01/09/pdfs/GMD-1807-3.pdf#page=7","Abrir facsímil")</f>
        <v>Abrir facsímil</v>
      </c>
      <c r="K458" s="15" t="s">
        <v>22</v>
      </c>
    </row>
    <row r="459" spans="1:11" ht="42" customHeight="1">
      <c r="A459" s="4" t="s">
        <v>1223</v>
      </c>
      <c r="B459" s="5" t="s">
        <v>1223</v>
      </c>
      <c r="C459" s="5" t="s">
        <v>28</v>
      </c>
      <c r="D459" s="5" t="s">
        <v>29</v>
      </c>
      <c r="E459" s="5" t="s">
        <v>406</v>
      </c>
      <c r="F459" s="9">
        <v>82</v>
      </c>
      <c r="G459" s="9">
        <v>960</v>
      </c>
      <c r="H459" s="5" t="s">
        <v>20</v>
      </c>
      <c r="I459" s="5" t="s">
        <v>1224</v>
      </c>
      <c r="J459" s="12" t="str">
        <f>HYPERLINK("https://www.boe.es/gazeta/dias/1807/09/15/pdfs/GMD-1807-82.pdf#page=12","Abrir facsímil")</f>
        <v>Abrir facsímil</v>
      </c>
      <c r="K459" s="15" t="s">
        <v>22</v>
      </c>
    </row>
    <row r="460" spans="1:11" ht="42" customHeight="1">
      <c r="A460" s="4" t="s">
        <v>1225</v>
      </c>
      <c r="B460" s="5" t="s">
        <v>1226</v>
      </c>
      <c r="C460" s="5" t="s">
        <v>34</v>
      </c>
      <c r="D460" s="5" t="s">
        <v>35</v>
      </c>
      <c r="E460" s="5" t="s">
        <v>620</v>
      </c>
      <c r="F460" s="9">
        <v>84</v>
      </c>
      <c r="G460" s="9">
        <v>981</v>
      </c>
      <c r="H460" s="5" t="s">
        <v>20</v>
      </c>
      <c r="I460" s="5" t="s">
        <v>1227</v>
      </c>
      <c r="J460" s="12" t="str">
        <f>HYPERLINK("https://www.boe.es/gazeta/dias/1807/09/22/pdfs/GMD-1807-84.pdf#page=9","Abrir facsímil")</f>
        <v>Abrir facsímil</v>
      </c>
      <c r="K460" s="15" t="s">
        <v>22</v>
      </c>
    </row>
    <row r="461" spans="1:11" ht="42" customHeight="1">
      <c r="A461" s="4" t="s">
        <v>1228</v>
      </c>
      <c r="B461" s="5" t="s">
        <v>1229</v>
      </c>
      <c r="C461" s="5" t="s">
        <v>34</v>
      </c>
      <c r="D461" s="5" t="s">
        <v>35</v>
      </c>
      <c r="E461" s="5" t="s">
        <v>620</v>
      </c>
      <c r="F461" s="9">
        <v>84</v>
      </c>
      <c r="G461" s="9">
        <v>981</v>
      </c>
      <c r="H461" s="5" t="s">
        <v>20</v>
      </c>
      <c r="I461" s="5" t="s">
        <v>1230</v>
      </c>
      <c r="J461" s="12" t="str">
        <f>HYPERLINK("https://www.boe.es/gazeta/dias/1807/09/22/pdfs/GMD-1807-84.pdf#page=9","Abrir facsímil")</f>
        <v>Abrir facsímil</v>
      </c>
      <c r="K461" s="15" t="s">
        <v>22</v>
      </c>
    </row>
    <row r="462" spans="1:11" ht="42" customHeight="1">
      <c r="A462" s="4" t="s">
        <v>1231</v>
      </c>
      <c r="B462" s="5" t="s">
        <v>1232</v>
      </c>
      <c r="C462" s="5" t="s">
        <v>34</v>
      </c>
      <c r="D462" s="5" t="s">
        <v>35</v>
      </c>
      <c r="E462" s="5" t="s">
        <v>156</v>
      </c>
      <c r="F462" s="9">
        <v>74</v>
      </c>
      <c r="G462" s="9">
        <v>857</v>
      </c>
      <c r="H462" s="5" t="s">
        <v>20</v>
      </c>
      <c r="I462" s="5" t="s">
        <v>1233</v>
      </c>
      <c r="J462" s="12" t="str">
        <f>HYPERLINK("https://www.boe.es/gazeta/dias/1807/08/18/pdfs/GMD-1807-74.pdf#page=9","Abrir facsímil")</f>
        <v>Abrir facsímil</v>
      </c>
      <c r="K462" s="15" t="s">
        <v>22</v>
      </c>
    </row>
    <row r="463" spans="1:11" ht="42" customHeight="1">
      <c r="A463" s="4" t="s">
        <v>1234</v>
      </c>
      <c r="B463" s="5" t="s">
        <v>1234</v>
      </c>
      <c r="C463" s="5" t="s">
        <v>34</v>
      </c>
      <c r="D463" s="5" t="s">
        <v>35</v>
      </c>
      <c r="E463" s="5" t="s">
        <v>346</v>
      </c>
      <c r="F463" s="9">
        <v>21</v>
      </c>
      <c r="G463" s="9">
        <v>238</v>
      </c>
      <c r="H463" s="5" t="s">
        <v>20</v>
      </c>
      <c r="I463" s="5" t="s">
        <v>1235</v>
      </c>
      <c r="J463" s="12" t="str">
        <f>HYPERLINK("https://www.boe.es/gazeta/dias/1807/03/03/pdfs/GMD-1807-21.pdf#page=2","Abrir facsímil")</f>
        <v>Abrir facsímil</v>
      </c>
      <c r="K463" s="15" t="s">
        <v>22</v>
      </c>
    </row>
    <row r="464" spans="1:11" ht="42" customHeight="1">
      <c r="A464" s="4" t="s">
        <v>1236</v>
      </c>
      <c r="B464" s="5" t="s">
        <v>1236</v>
      </c>
      <c r="C464" s="5" t="s">
        <v>49</v>
      </c>
      <c r="D464" s="5" t="s">
        <v>50</v>
      </c>
      <c r="E464" s="5" t="s">
        <v>30</v>
      </c>
      <c r="F464" s="9">
        <v>13</v>
      </c>
      <c r="G464" s="9">
        <v>144</v>
      </c>
      <c r="H464" s="5" t="s">
        <v>20</v>
      </c>
      <c r="I464" s="5" t="s">
        <v>1237</v>
      </c>
      <c r="J464" s="12" t="str">
        <f>HYPERLINK("https://www.boe.es/gazeta/dias/1807/02/06/pdfs/GMD-1807-13.pdf#page=4","Abrir facsímil")</f>
        <v>Abrir facsímil</v>
      </c>
      <c r="K464" s="15" t="s">
        <v>22</v>
      </c>
    </row>
    <row r="465" spans="1:11" ht="42" customHeight="1">
      <c r="A465" s="4" t="s">
        <v>1238</v>
      </c>
      <c r="B465" s="5" t="s">
        <v>1238</v>
      </c>
      <c r="C465" s="5" t="s">
        <v>49</v>
      </c>
      <c r="D465" s="5" t="s">
        <v>50</v>
      </c>
      <c r="E465" s="5" t="s">
        <v>179</v>
      </c>
      <c r="F465" s="9">
        <v>100</v>
      </c>
      <c r="G465" s="9">
        <v>1159</v>
      </c>
      <c r="H465" s="5" t="s">
        <v>20</v>
      </c>
      <c r="I465" s="5" t="s">
        <v>1239</v>
      </c>
      <c r="J465" s="12" t="str">
        <f>HYPERLINK("https://www.boe.es/gazeta/dias/1807/11/10/pdfs/GMD-1807-100.pdf#page=3","Abrir facsímil")</f>
        <v>Abrir facsímil</v>
      </c>
      <c r="K465" s="15" t="s">
        <v>22</v>
      </c>
    </row>
    <row r="466" spans="1:11" ht="42" customHeight="1">
      <c r="A466" s="4" t="s">
        <v>1240</v>
      </c>
      <c r="B466" s="5" t="s">
        <v>1241</v>
      </c>
      <c r="C466" s="5" t="s">
        <v>24</v>
      </c>
      <c r="D466" s="5" t="s">
        <v>18</v>
      </c>
      <c r="E466" s="5" t="s">
        <v>215</v>
      </c>
      <c r="F466" s="9">
        <v>5</v>
      </c>
      <c r="G466" s="9">
        <v>51</v>
      </c>
      <c r="H466" s="5" t="s">
        <v>20</v>
      </c>
      <c r="I466" s="5" t="s">
        <v>1242</v>
      </c>
      <c r="J466" s="12" t="str">
        <f>HYPERLINK("https://www.boe.es/gazeta/dias/1807/01/16/pdfs/GMD-1807-5.pdf#page=7","Abrir facsímil")</f>
        <v>Abrir facsímil</v>
      </c>
      <c r="K466" s="15" t="s">
        <v>22</v>
      </c>
    </row>
    <row r="467" spans="1:11" ht="42" customHeight="1">
      <c r="A467" s="4" t="s">
        <v>1243</v>
      </c>
      <c r="B467" s="5" t="s">
        <v>1243</v>
      </c>
      <c r="C467" s="5" t="s">
        <v>17</v>
      </c>
      <c r="D467" s="5" t="s">
        <v>18</v>
      </c>
      <c r="E467" s="5" t="s">
        <v>666</v>
      </c>
      <c r="F467" s="9">
        <v>43</v>
      </c>
      <c r="G467" s="9">
        <v>516</v>
      </c>
      <c r="H467" s="5" t="s">
        <v>20</v>
      </c>
      <c r="I467" s="5" t="s">
        <v>1244</v>
      </c>
      <c r="J467" s="12" t="str">
        <f>HYPERLINK("https://www.boe.es/gazeta/dias/1807/05/19/pdfs/GMD-1807-43.pdf#page=10","Abrir facsímil")</f>
        <v>Abrir facsímil</v>
      </c>
      <c r="K467" s="15" t="s">
        <v>22</v>
      </c>
    </row>
    <row r="468" spans="1:11" ht="42" customHeight="1">
      <c r="A468" s="4" t="s">
        <v>1245</v>
      </c>
      <c r="B468" s="5" t="s">
        <v>1246</v>
      </c>
      <c r="C468" s="5" t="s">
        <v>17</v>
      </c>
      <c r="D468" s="5" t="s">
        <v>18</v>
      </c>
      <c r="E468" s="5" t="s">
        <v>581</v>
      </c>
      <c r="F468" s="9">
        <v>71</v>
      </c>
      <c r="G468" s="9">
        <v>817</v>
      </c>
      <c r="H468" s="5" t="s">
        <v>20</v>
      </c>
      <c r="I468" s="5" t="s">
        <v>1247</v>
      </c>
      <c r="J468" s="12" t="str">
        <f>HYPERLINK("https://www.boe.es/gazeta/dias/1807/08/07/pdfs/GMD-1807-71.pdf#page=9","Abrir facsímil")</f>
        <v>Abrir facsímil</v>
      </c>
      <c r="K468" s="15" t="s">
        <v>22</v>
      </c>
    </row>
    <row r="469" spans="1:11" ht="42" customHeight="1">
      <c r="A469" s="4" t="s">
        <v>1248</v>
      </c>
      <c r="B469" s="5" t="s">
        <v>1248</v>
      </c>
      <c r="C469" s="5" t="s">
        <v>34</v>
      </c>
      <c r="D469" s="5" t="s">
        <v>35</v>
      </c>
      <c r="E469" s="5" t="s">
        <v>305</v>
      </c>
      <c r="F469" s="9">
        <v>53</v>
      </c>
      <c r="G469" s="9">
        <v>627</v>
      </c>
      <c r="H469" s="5" t="s">
        <v>20</v>
      </c>
      <c r="I469" s="5" t="s">
        <v>1249</v>
      </c>
      <c r="J469" s="12" t="str">
        <f>HYPERLINK("https://www.boe.es/gazeta/dias/1807/06/23/pdfs/GMD-1807-53.pdf#page=1","Abrir facsímil")</f>
        <v>Abrir facsímil</v>
      </c>
      <c r="K469" s="15" t="s">
        <v>22</v>
      </c>
    </row>
    <row r="470" spans="1:11" ht="42" customHeight="1">
      <c r="A470" s="4" t="s">
        <v>1250</v>
      </c>
      <c r="B470" s="5" t="s">
        <v>1250</v>
      </c>
      <c r="C470" s="5" t="s">
        <v>28</v>
      </c>
      <c r="D470" s="5" t="s">
        <v>29</v>
      </c>
      <c r="E470" s="5" t="s">
        <v>179</v>
      </c>
      <c r="F470" s="9">
        <v>100</v>
      </c>
      <c r="G470" s="9">
        <v>1167</v>
      </c>
      <c r="H470" s="5" t="s">
        <v>20</v>
      </c>
      <c r="I470" s="5" t="s">
        <v>1251</v>
      </c>
      <c r="J470" s="12" t="str">
        <f>HYPERLINK("https://www.boe.es/gazeta/dias/1807/11/10/pdfs/GMD-1807-100.pdf#page=11","Abrir facsímil")</f>
        <v>Abrir facsímil</v>
      </c>
      <c r="K470" s="15" t="s">
        <v>22</v>
      </c>
    </row>
    <row r="471" spans="1:11" ht="42" customHeight="1">
      <c r="A471" s="4" t="s">
        <v>1252</v>
      </c>
      <c r="B471" s="5" t="s">
        <v>1253</v>
      </c>
      <c r="C471" s="5" t="s">
        <v>17</v>
      </c>
      <c r="D471" s="5" t="s">
        <v>18</v>
      </c>
      <c r="E471" s="5" t="s">
        <v>152</v>
      </c>
      <c r="F471" s="9">
        <v>61</v>
      </c>
      <c r="G471" s="9">
        <v>720</v>
      </c>
      <c r="H471" s="5" t="s">
        <v>20</v>
      </c>
      <c r="I471" s="5" t="s">
        <v>1254</v>
      </c>
      <c r="J471" s="12" t="str">
        <f>HYPERLINK("https://www.boe.es/gazeta/dias/1807/07/14/pdfs/GMD-1807-61.pdf#page=6","Abrir facsímil")</f>
        <v>Abrir facsímil</v>
      </c>
      <c r="K471" s="15" t="s">
        <v>22</v>
      </c>
    </row>
    <row r="472" spans="1:11" ht="42" customHeight="1">
      <c r="A472" s="4" t="s">
        <v>1255</v>
      </c>
      <c r="B472" s="5" t="s">
        <v>1256</v>
      </c>
      <c r="C472" s="5" t="s">
        <v>69</v>
      </c>
      <c r="D472" s="5" t="s">
        <v>70</v>
      </c>
      <c r="E472" s="5" t="s">
        <v>71</v>
      </c>
      <c r="F472" s="9">
        <v>35</v>
      </c>
      <c r="G472" s="9" t="s">
        <v>72</v>
      </c>
      <c r="H472" s="5" t="s">
        <v>20</v>
      </c>
      <c r="I472" s="5" t="s">
        <v>1257</v>
      </c>
      <c r="J472" s="12" t="str">
        <f>HYPERLINK("https://www.boe.es/gazeta/dias/1807/04/21/pdfs/C00001-00004.pdf#page=1","Abrir facsímil")</f>
        <v>Abrir facsímil</v>
      </c>
      <c r="K472" s="15" t="s">
        <v>22</v>
      </c>
    </row>
    <row r="473" spans="1:11" ht="42" customHeight="1">
      <c r="A473" s="4" t="s">
        <v>1258</v>
      </c>
      <c r="B473" s="5" t="s">
        <v>1258</v>
      </c>
      <c r="C473" s="5" t="s">
        <v>17</v>
      </c>
      <c r="D473" s="5" t="s">
        <v>18</v>
      </c>
      <c r="E473" s="5" t="s">
        <v>620</v>
      </c>
      <c r="F473" s="9">
        <v>84</v>
      </c>
      <c r="G473" s="9">
        <v>982</v>
      </c>
      <c r="H473" s="5" t="s">
        <v>20</v>
      </c>
      <c r="I473" s="5" t="s">
        <v>1259</v>
      </c>
      <c r="J473" s="12" t="str">
        <f>HYPERLINK("https://www.boe.es/gazeta/dias/1807/09/22/pdfs/GMD-1807-84.pdf#page=10","Abrir facsímil")</f>
        <v>Abrir facsímil</v>
      </c>
      <c r="K473" s="15" t="s">
        <v>22</v>
      </c>
    </row>
    <row r="474" spans="1:11" ht="42" customHeight="1">
      <c r="A474" s="4" t="s">
        <v>1260</v>
      </c>
      <c r="B474" s="5" t="s">
        <v>1260</v>
      </c>
      <c r="C474" s="5" t="s">
        <v>17</v>
      </c>
      <c r="D474" s="5" t="s">
        <v>18</v>
      </c>
      <c r="E474" s="5" t="s">
        <v>109</v>
      </c>
      <c r="F474" s="9">
        <v>58</v>
      </c>
      <c r="G474" s="9">
        <v>688</v>
      </c>
      <c r="H474" s="5" t="s">
        <v>20</v>
      </c>
      <c r="I474" s="5" t="s">
        <v>1261</v>
      </c>
      <c r="J474" s="12" t="str">
        <f>HYPERLINK("https://www.boe.es/gazeta/dias/1807/07/07/pdfs/GMD-1807-58.pdf#page=6","Abrir facsímil")</f>
        <v>Abrir facsímil</v>
      </c>
      <c r="K474" s="15" t="s">
        <v>22</v>
      </c>
    </row>
    <row r="475" spans="1:11" ht="42" customHeight="1">
      <c r="A475" s="4" t="s">
        <v>1262</v>
      </c>
      <c r="B475" s="5" t="s">
        <v>1262</v>
      </c>
      <c r="C475" s="5" t="s">
        <v>49</v>
      </c>
      <c r="D475" s="5" t="s">
        <v>50</v>
      </c>
      <c r="E475" s="5" t="s">
        <v>666</v>
      </c>
      <c r="F475" s="9">
        <v>43</v>
      </c>
      <c r="G475" s="9">
        <v>507</v>
      </c>
      <c r="H475" s="5" t="s">
        <v>20</v>
      </c>
      <c r="I475" s="5" t="s">
        <v>1263</v>
      </c>
      <c r="J475" s="12" t="str">
        <f>HYPERLINK("https://www.boe.es/gazeta/dias/1807/05/19/pdfs/GMD-1807-43.pdf#page=1","Abrir facsímil")</f>
        <v>Abrir facsímil</v>
      </c>
      <c r="K475" s="15" t="s">
        <v>22</v>
      </c>
    </row>
    <row r="476" spans="1:11" ht="42" customHeight="1">
      <c r="A476" s="4" t="s">
        <v>1262</v>
      </c>
      <c r="B476" s="5" t="s">
        <v>1262</v>
      </c>
      <c r="C476" s="5" t="s">
        <v>49</v>
      </c>
      <c r="D476" s="5" t="s">
        <v>50</v>
      </c>
      <c r="E476" s="5" t="s">
        <v>123</v>
      </c>
      <c r="F476" s="9">
        <v>70</v>
      </c>
      <c r="G476" s="9">
        <v>802</v>
      </c>
      <c r="H476" s="5" t="s">
        <v>20</v>
      </c>
      <c r="I476" s="5" t="s">
        <v>1264</v>
      </c>
      <c r="J476" s="12" t="str">
        <f>HYPERLINK("https://www.boe.es/gazeta/dias/1807/08/04/pdfs/GMD-1807-70.pdf#page=6","Abrir facsímil")</f>
        <v>Abrir facsímil</v>
      </c>
      <c r="K476" s="15" t="s">
        <v>22</v>
      </c>
    </row>
    <row r="477" spans="1:11" ht="42" customHeight="1">
      <c r="A477" s="4" t="s">
        <v>1265</v>
      </c>
      <c r="B477" s="5" t="s">
        <v>1266</v>
      </c>
      <c r="C477" s="5" t="s">
        <v>34</v>
      </c>
      <c r="D477" s="5" t="s">
        <v>35</v>
      </c>
      <c r="E477" s="5" t="s">
        <v>259</v>
      </c>
      <c r="F477" s="9">
        <v>3</v>
      </c>
      <c r="G477" s="9">
        <v>31</v>
      </c>
      <c r="H477" s="5" t="s">
        <v>20</v>
      </c>
      <c r="I477" s="5" t="s">
        <v>1267</v>
      </c>
      <c r="J477" s="12" t="str">
        <f>HYPERLINK("https://www.boe.es/gazeta/dias/1807/01/09/pdfs/GMD-1807-3.pdf#page=11","Abrir facsímil")</f>
        <v>Abrir facsímil</v>
      </c>
      <c r="K477" s="15" t="s">
        <v>22</v>
      </c>
    </row>
    <row r="478" spans="1:11" ht="42" customHeight="1">
      <c r="A478" s="4" t="s">
        <v>1268</v>
      </c>
      <c r="B478" s="5" t="s">
        <v>1269</v>
      </c>
      <c r="C478" s="5" t="s">
        <v>34</v>
      </c>
      <c r="D478" s="5" t="s">
        <v>35</v>
      </c>
      <c r="E478" s="5" t="s">
        <v>131</v>
      </c>
      <c r="F478" s="9">
        <v>28</v>
      </c>
      <c r="G478" s="9">
        <v>335</v>
      </c>
      <c r="H478" s="5" t="s">
        <v>20</v>
      </c>
      <c r="I478" s="5" t="s">
        <v>1270</v>
      </c>
      <c r="J478" s="12" t="str">
        <f>HYPERLINK("https://www.boe.es/gazeta/dias/1807/03/27/pdfs/GMD-1807-28.pdf#page=7","Abrir facsímil")</f>
        <v>Abrir facsímil</v>
      </c>
      <c r="K478" s="15" t="s">
        <v>22</v>
      </c>
    </row>
    <row r="479" spans="1:11" ht="42" customHeight="1">
      <c r="A479" s="4" t="s">
        <v>1271</v>
      </c>
      <c r="B479" s="5" t="s">
        <v>1272</v>
      </c>
      <c r="C479" s="5" t="s">
        <v>49</v>
      </c>
      <c r="D479" s="5" t="s">
        <v>50</v>
      </c>
      <c r="E479" s="5" t="s">
        <v>86</v>
      </c>
      <c r="F479" s="9">
        <v>12</v>
      </c>
      <c r="G479" s="9">
        <v>129</v>
      </c>
      <c r="H479" s="5" t="s">
        <v>20</v>
      </c>
      <c r="I479" s="5" t="s">
        <v>1273</v>
      </c>
      <c r="J479" s="12" t="str">
        <f>HYPERLINK("https://www.boe.es/gazeta/dias/1807/02/03/pdfs/GMD-1807-12.pdf#page=1","Abrir facsímil")</f>
        <v>Abrir facsímil</v>
      </c>
      <c r="K479" s="15" t="s">
        <v>22</v>
      </c>
    </row>
    <row r="480" spans="1:11" ht="42" customHeight="1">
      <c r="A480" s="4" t="s">
        <v>1271</v>
      </c>
      <c r="B480" s="5" t="s">
        <v>1272</v>
      </c>
      <c r="C480" s="5" t="s">
        <v>24</v>
      </c>
      <c r="D480" s="5" t="s">
        <v>18</v>
      </c>
      <c r="E480" s="5" t="s">
        <v>86</v>
      </c>
      <c r="F480" s="9">
        <v>12</v>
      </c>
      <c r="G480" s="9">
        <v>130</v>
      </c>
      <c r="H480" s="5" t="s">
        <v>20</v>
      </c>
      <c r="I480" s="5" t="s">
        <v>1274</v>
      </c>
      <c r="J480" s="12" t="str">
        <f>HYPERLINK("https://www.boe.es/gazeta/dias/1807/02/03/pdfs/GMD-1807-12.pdf#page=2","Abrir facsímil")</f>
        <v>Abrir facsímil</v>
      </c>
      <c r="K480" s="15" t="s">
        <v>22</v>
      </c>
    </row>
    <row r="481" spans="1:11" ht="42" customHeight="1">
      <c r="A481" s="4" t="s">
        <v>1275</v>
      </c>
      <c r="B481" s="5" t="s">
        <v>1276</v>
      </c>
      <c r="C481" s="5" t="s">
        <v>34</v>
      </c>
      <c r="D481" s="5" t="s">
        <v>35</v>
      </c>
      <c r="E481" s="5" t="s">
        <v>595</v>
      </c>
      <c r="F481" s="9">
        <v>59</v>
      </c>
      <c r="G481" s="9">
        <v>706</v>
      </c>
      <c r="H481" s="5" t="s">
        <v>20</v>
      </c>
      <c r="I481" s="5" t="s">
        <v>1277</v>
      </c>
      <c r="J481" s="12" t="str">
        <f>HYPERLINK("https://www.boe.es/gazeta/dias/1807/07/10/pdfs/GMD-1807-59.pdf#page=12","Abrir facsímil")</f>
        <v>Abrir facsímil</v>
      </c>
      <c r="K481" s="15" t="s">
        <v>22</v>
      </c>
    </row>
    <row r="482" spans="1:11" ht="42" customHeight="1">
      <c r="A482" s="4" t="s">
        <v>1278</v>
      </c>
      <c r="B482" s="5" t="s">
        <v>1279</v>
      </c>
      <c r="C482" s="5" t="s">
        <v>17</v>
      </c>
      <c r="D482" s="5" t="s">
        <v>18</v>
      </c>
      <c r="E482" s="5" t="s">
        <v>111</v>
      </c>
      <c r="F482" s="9">
        <v>90</v>
      </c>
      <c r="G482" s="9">
        <v>1044</v>
      </c>
      <c r="H482" s="5" t="s">
        <v>20</v>
      </c>
      <c r="I482" s="5" t="s">
        <v>1280</v>
      </c>
      <c r="J482" s="12" t="str">
        <f>HYPERLINK("https://www.boe.es/gazeta/dias/1807/10/06/pdfs/GMD-1807-90.pdf#page=12","Abrir facsímil")</f>
        <v>Abrir facsímil</v>
      </c>
      <c r="K482" s="15" t="s">
        <v>22</v>
      </c>
    </row>
    <row r="483" spans="1:11" ht="42" customHeight="1">
      <c r="A483" s="4" t="s">
        <v>1281</v>
      </c>
      <c r="B483" s="5" t="s">
        <v>1282</v>
      </c>
      <c r="C483" s="5" t="s">
        <v>28</v>
      </c>
      <c r="D483" s="5" t="s">
        <v>29</v>
      </c>
      <c r="E483" s="5" t="s">
        <v>561</v>
      </c>
      <c r="F483" s="9">
        <v>44</v>
      </c>
      <c r="G483" s="9">
        <v>524</v>
      </c>
      <c r="H483" s="5" t="s">
        <v>20</v>
      </c>
      <c r="I483" s="5" t="s">
        <v>1283</v>
      </c>
      <c r="J483" s="12" t="str">
        <f>HYPERLINK("https://www.boe.es/gazeta/dias/1807/05/22/pdfs/GMD-1807-44.pdf#page=6","Abrir facsímil")</f>
        <v>Abrir facsímil</v>
      </c>
      <c r="K483" s="15" t="s">
        <v>22</v>
      </c>
    </row>
    <row r="484" spans="1:11" ht="42" customHeight="1">
      <c r="A484" s="4" t="s">
        <v>1284</v>
      </c>
      <c r="B484" s="5" t="s">
        <v>1285</v>
      </c>
      <c r="C484" s="5" t="s">
        <v>28</v>
      </c>
      <c r="D484" s="5" t="s">
        <v>29</v>
      </c>
      <c r="E484" s="5" t="s">
        <v>94</v>
      </c>
      <c r="F484" s="9">
        <v>22</v>
      </c>
      <c r="G484" s="9">
        <v>254</v>
      </c>
      <c r="H484" s="5" t="s">
        <v>20</v>
      </c>
      <c r="I484" s="5" t="s">
        <v>1286</v>
      </c>
      <c r="J484" s="12" t="str">
        <f>HYPERLINK("https://www.boe.es/gazeta/dias/1807/03/06/pdfs/GMD-1807-22.pdf#page=6","Abrir facsímil")</f>
        <v>Abrir facsímil</v>
      </c>
      <c r="K484" s="15" t="s">
        <v>22</v>
      </c>
    </row>
    <row r="485" spans="1:11" ht="42" customHeight="1">
      <c r="A485" s="4" t="s">
        <v>1287</v>
      </c>
      <c r="B485" s="5" t="s">
        <v>1288</v>
      </c>
      <c r="C485" s="5" t="s">
        <v>49</v>
      </c>
      <c r="D485" s="5" t="s">
        <v>50</v>
      </c>
      <c r="E485" s="5" t="s">
        <v>572</v>
      </c>
      <c r="F485" s="9">
        <v>14</v>
      </c>
      <c r="G485" s="9">
        <v>157</v>
      </c>
      <c r="H485" s="5" t="s">
        <v>20</v>
      </c>
      <c r="I485" s="5" t="s">
        <v>1289</v>
      </c>
      <c r="J485" s="12" t="str">
        <f>HYPERLINK("https://www.boe.es/gazeta/dias/1807/02/10/pdfs/GMD-1807-14.pdf#page=5","Abrir facsímil")</f>
        <v>Abrir facsímil</v>
      </c>
      <c r="K485" s="15" t="s">
        <v>22</v>
      </c>
    </row>
    <row r="486" spans="1:11" ht="42" customHeight="1">
      <c r="A486" s="4" t="s">
        <v>1287</v>
      </c>
      <c r="B486" s="5" t="s">
        <v>1288</v>
      </c>
      <c r="C486" s="5" t="s">
        <v>49</v>
      </c>
      <c r="D486" s="5" t="s">
        <v>50</v>
      </c>
      <c r="E486" s="5" t="s">
        <v>572</v>
      </c>
      <c r="F486" s="9">
        <v>14</v>
      </c>
      <c r="G486" s="9">
        <v>158</v>
      </c>
      <c r="H486" s="5" t="s">
        <v>20</v>
      </c>
      <c r="I486" s="5" t="s">
        <v>1290</v>
      </c>
      <c r="J486" s="12" t="str">
        <f>HYPERLINK("https://www.boe.es/gazeta/dias/1807/02/10/pdfs/GMD-1807-14.pdf#page=6","Abrir facsímil")</f>
        <v>Abrir facsímil</v>
      </c>
      <c r="K486" s="15" t="s">
        <v>22</v>
      </c>
    </row>
    <row r="487" spans="1:11" ht="42" customHeight="1">
      <c r="A487" s="4" t="s">
        <v>1287</v>
      </c>
      <c r="B487" s="5" t="s">
        <v>1288</v>
      </c>
      <c r="C487" s="5" t="s">
        <v>24</v>
      </c>
      <c r="D487" s="5" t="s">
        <v>18</v>
      </c>
      <c r="E487" s="5" t="s">
        <v>572</v>
      </c>
      <c r="F487" s="9">
        <v>14</v>
      </c>
      <c r="G487" s="9">
        <v>159</v>
      </c>
      <c r="H487" s="5" t="s">
        <v>20</v>
      </c>
      <c r="I487" s="5" t="s">
        <v>1291</v>
      </c>
      <c r="J487" s="12" t="str">
        <f>HYPERLINK("https://www.boe.es/gazeta/dias/1807/02/10/pdfs/GMD-1807-14.pdf#page=7","Abrir facsímil")</f>
        <v>Abrir facsímil</v>
      </c>
      <c r="K487" s="15" t="s">
        <v>22</v>
      </c>
    </row>
    <row r="488" spans="1:11" ht="42" customHeight="1">
      <c r="A488" s="4" t="s">
        <v>1287</v>
      </c>
      <c r="B488" s="5" t="s">
        <v>1288</v>
      </c>
      <c r="C488" s="5" t="s">
        <v>49</v>
      </c>
      <c r="D488" s="5" t="s">
        <v>50</v>
      </c>
      <c r="E488" s="5" t="s">
        <v>464</v>
      </c>
      <c r="F488" s="9">
        <v>18</v>
      </c>
      <c r="G488" s="9">
        <v>209</v>
      </c>
      <c r="H488" s="5" t="s">
        <v>20</v>
      </c>
      <c r="I488" s="5" t="s">
        <v>1292</v>
      </c>
      <c r="J488" s="12" t="str">
        <f>HYPERLINK("https://www.boe.es/gazeta/dias/1807/02/24/pdfs/GMD-1807-18.pdf#page=9","Abrir facsímil")</f>
        <v>Abrir facsímil</v>
      </c>
      <c r="K488" s="15" t="s">
        <v>22</v>
      </c>
    </row>
    <row r="489" spans="1:11" ht="42" customHeight="1">
      <c r="A489" s="4" t="s">
        <v>1293</v>
      </c>
      <c r="B489" s="5" t="s">
        <v>1294</v>
      </c>
      <c r="C489" s="5" t="s">
        <v>34</v>
      </c>
      <c r="D489" s="5" t="s">
        <v>35</v>
      </c>
      <c r="E489" s="5" t="s">
        <v>309</v>
      </c>
      <c r="F489" s="9">
        <v>107</v>
      </c>
      <c r="G489" s="9">
        <v>1247</v>
      </c>
      <c r="H489" s="5" t="s">
        <v>20</v>
      </c>
      <c r="I489" s="5" t="s">
        <v>1295</v>
      </c>
      <c r="J489" s="12" t="str">
        <f>HYPERLINK("https://www.boe.es/gazeta/dias/1807/12/01/pdfs/GMD-1807-107.pdf#page=7","Abrir facsímil")</f>
        <v>Abrir facsímil</v>
      </c>
      <c r="K489" s="15" t="s">
        <v>22</v>
      </c>
    </row>
    <row r="490" spans="1:11" ht="42" customHeight="1">
      <c r="A490" s="4" t="s">
        <v>1296</v>
      </c>
      <c r="B490" s="5" t="s">
        <v>1297</v>
      </c>
      <c r="C490" s="5" t="s">
        <v>34</v>
      </c>
      <c r="D490" s="5" t="s">
        <v>35</v>
      </c>
      <c r="E490" s="5" t="s">
        <v>114</v>
      </c>
      <c r="F490" s="9">
        <v>46</v>
      </c>
      <c r="G490" s="9">
        <v>548</v>
      </c>
      <c r="H490" s="5" t="s">
        <v>20</v>
      </c>
      <c r="I490" s="5" t="s">
        <v>1298</v>
      </c>
      <c r="J490" s="12" t="str">
        <f>HYPERLINK("https://www.boe.es/gazeta/dias/1807/05/29/pdfs/GMD-1807-46.pdf#page=6","Abrir facsímil")</f>
        <v>Abrir facsímil</v>
      </c>
      <c r="K490" s="15" t="s">
        <v>22</v>
      </c>
    </row>
    <row r="491" spans="1:11" ht="42" customHeight="1">
      <c r="A491" s="4" t="s">
        <v>1299</v>
      </c>
      <c r="B491" s="5" t="s">
        <v>1300</v>
      </c>
      <c r="C491" s="5" t="s">
        <v>34</v>
      </c>
      <c r="D491" s="5" t="s">
        <v>35</v>
      </c>
      <c r="E491" s="5" t="s">
        <v>426</v>
      </c>
      <c r="F491" s="9">
        <v>93</v>
      </c>
      <c r="G491" s="9">
        <v>1080</v>
      </c>
      <c r="H491" s="5" t="s">
        <v>20</v>
      </c>
      <c r="I491" s="5" t="s">
        <v>1301</v>
      </c>
      <c r="J491" s="12" t="str">
        <f>HYPERLINK("https://www.boe.es/gazeta/dias/1807/10/16/pdfs/GMD-1807-93.pdf#page=8","Abrir facsímil")</f>
        <v>Abrir facsímil</v>
      </c>
      <c r="K491" s="15" t="s">
        <v>22</v>
      </c>
    </row>
    <row r="492" spans="1:11" ht="42" customHeight="1">
      <c r="A492" s="4" t="s">
        <v>1302</v>
      </c>
      <c r="B492" s="5" t="s">
        <v>1303</v>
      </c>
      <c r="C492" s="5" t="s">
        <v>17</v>
      </c>
      <c r="D492" s="5" t="s">
        <v>18</v>
      </c>
      <c r="E492" s="5" t="s">
        <v>361</v>
      </c>
      <c r="F492" s="9">
        <v>113</v>
      </c>
      <c r="G492" s="9">
        <v>1322</v>
      </c>
      <c r="H492" s="5" t="s">
        <v>20</v>
      </c>
      <c r="I492" s="5" t="s">
        <v>1304</v>
      </c>
      <c r="J492" s="12" t="str">
        <f>HYPERLINK("https://www.boe.es/gazeta/dias/1807/12/22/pdfs/GMD-1807-113.pdf#page=10","Abrir facsímil")</f>
        <v>Abrir facsímil</v>
      </c>
      <c r="K492" s="15" t="s">
        <v>22</v>
      </c>
    </row>
    <row r="493" spans="1:11" ht="42" customHeight="1">
      <c r="A493" s="4" t="s">
        <v>1305</v>
      </c>
      <c r="B493" s="5" t="s">
        <v>1306</v>
      </c>
      <c r="C493" s="5" t="s">
        <v>34</v>
      </c>
      <c r="D493" s="5" t="s">
        <v>35</v>
      </c>
      <c r="E493" s="5" t="s">
        <v>86</v>
      </c>
      <c r="F493" s="9">
        <v>12</v>
      </c>
      <c r="G493" s="9">
        <v>136</v>
      </c>
      <c r="H493" s="5" t="s">
        <v>20</v>
      </c>
      <c r="I493" s="5" t="s">
        <v>1307</v>
      </c>
      <c r="J493" s="12" t="str">
        <f>HYPERLINK("https://www.boe.es/gazeta/dias/1807/02/03/pdfs/GMD-1807-12.pdf#page=8","Abrir facsímil")</f>
        <v>Abrir facsímil</v>
      </c>
      <c r="K493" s="15" t="s">
        <v>22</v>
      </c>
    </row>
    <row r="494" spans="1:11" ht="42" customHeight="1">
      <c r="A494" s="4" t="s">
        <v>1308</v>
      </c>
      <c r="B494" s="5" t="s">
        <v>1309</v>
      </c>
      <c r="C494" s="5" t="s">
        <v>17</v>
      </c>
      <c r="D494" s="5" t="s">
        <v>18</v>
      </c>
      <c r="E494" s="5" t="s">
        <v>131</v>
      </c>
      <c r="F494" s="9">
        <v>28</v>
      </c>
      <c r="G494" s="9">
        <v>334</v>
      </c>
      <c r="H494" s="5" t="s">
        <v>20</v>
      </c>
      <c r="I494" s="5" t="s">
        <v>1310</v>
      </c>
      <c r="J494" s="12" t="str">
        <f>HYPERLINK("https://www.boe.es/gazeta/dias/1807/03/27/pdfs/GMD-1807-28.pdf#page=6","Abrir facsímil")</f>
        <v>Abrir facsímil</v>
      </c>
      <c r="K494" s="15" t="s">
        <v>22</v>
      </c>
    </row>
    <row r="495" spans="1:11" ht="42" customHeight="1">
      <c r="A495" s="4" t="s">
        <v>1311</v>
      </c>
      <c r="B495" s="5" t="s">
        <v>1312</v>
      </c>
      <c r="C495" s="5" t="s">
        <v>28</v>
      </c>
      <c r="D495" s="5" t="s">
        <v>29</v>
      </c>
      <c r="E495" s="5" t="s">
        <v>123</v>
      </c>
      <c r="F495" s="9">
        <v>70</v>
      </c>
      <c r="G495" s="9">
        <v>805</v>
      </c>
      <c r="H495" s="5" t="s">
        <v>20</v>
      </c>
      <c r="I495" s="5" t="s">
        <v>1313</v>
      </c>
      <c r="J495" s="12" t="str">
        <f>HYPERLINK("https://www.boe.es/gazeta/dias/1807/08/04/pdfs/GMD-1807-70.pdf#page=9","Abrir facsímil")</f>
        <v>Abrir facsímil</v>
      </c>
      <c r="K495" s="15" t="s">
        <v>22</v>
      </c>
    </row>
    <row r="496" spans="1:11" ht="42" customHeight="1">
      <c r="A496" s="4" t="s">
        <v>1314</v>
      </c>
      <c r="B496" s="5" t="s">
        <v>1315</v>
      </c>
      <c r="C496" s="5" t="s">
        <v>24</v>
      </c>
      <c r="D496" s="5" t="s">
        <v>18</v>
      </c>
      <c r="E496" s="5" t="s">
        <v>595</v>
      </c>
      <c r="F496" s="9">
        <v>59</v>
      </c>
      <c r="G496" s="9">
        <v>704</v>
      </c>
      <c r="H496" s="5" t="s">
        <v>20</v>
      </c>
      <c r="I496" s="5" t="s">
        <v>1316</v>
      </c>
      <c r="J496" s="12" t="str">
        <f>HYPERLINK("https://www.boe.es/gazeta/dias/1807/07/10/pdfs/GMD-1807-59.pdf#page=10","Abrir facsímil")</f>
        <v>Abrir facsímil</v>
      </c>
      <c r="K496" s="15" t="s">
        <v>22</v>
      </c>
    </row>
    <row r="497" spans="1:11" ht="42" customHeight="1">
      <c r="A497" s="4" t="s">
        <v>1314</v>
      </c>
      <c r="B497" s="5" t="s">
        <v>1315</v>
      </c>
      <c r="C497" s="5" t="s">
        <v>24</v>
      </c>
      <c r="D497" s="5" t="s">
        <v>18</v>
      </c>
      <c r="E497" s="5" t="s">
        <v>46</v>
      </c>
      <c r="F497" s="9">
        <v>78</v>
      </c>
      <c r="G497" s="9">
        <v>906</v>
      </c>
      <c r="H497" s="5" t="s">
        <v>20</v>
      </c>
      <c r="I497" s="5" t="s">
        <v>1317</v>
      </c>
      <c r="J497" s="12" t="str">
        <f>HYPERLINK("https://www.boe.es/gazeta/dias/1807/09/01/pdfs/GMD-1807-78.pdf#page=10","Abrir facsímil")</f>
        <v>Abrir facsímil</v>
      </c>
      <c r="K497" s="15" t="s">
        <v>22</v>
      </c>
    </row>
    <row r="498" spans="1:11" ht="42" customHeight="1">
      <c r="A498" s="4" t="s">
        <v>1318</v>
      </c>
      <c r="B498" s="5" t="s">
        <v>1319</v>
      </c>
      <c r="C498" s="5" t="s">
        <v>17</v>
      </c>
      <c r="D498" s="5" t="s">
        <v>18</v>
      </c>
      <c r="E498" s="5" t="s">
        <v>81</v>
      </c>
      <c r="F498" s="9">
        <v>49</v>
      </c>
      <c r="G498" s="9">
        <v>585</v>
      </c>
      <c r="H498" s="5" t="s">
        <v>20</v>
      </c>
      <c r="I498" s="5" t="s">
        <v>1320</v>
      </c>
      <c r="J498" s="12" t="str">
        <f>HYPERLINK("https://www.boe.es/gazeta/dias/1807/06/09/pdfs/GMD-1807-49.pdf#page=11","Abrir facsímil")</f>
        <v>Abrir facsímil</v>
      </c>
      <c r="K498" s="15" t="s">
        <v>22</v>
      </c>
    </row>
    <row r="499" spans="1:11" ht="42" customHeight="1">
      <c r="A499" s="4" t="s">
        <v>1321</v>
      </c>
      <c r="B499" s="5" t="s">
        <v>1322</v>
      </c>
      <c r="C499" s="5" t="s">
        <v>28</v>
      </c>
      <c r="D499" s="5" t="s">
        <v>29</v>
      </c>
      <c r="E499" s="5" t="s">
        <v>666</v>
      </c>
      <c r="F499" s="9">
        <v>43</v>
      </c>
      <c r="G499" s="9">
        <v>515</v>
      </c>
      <c r="H499" s="5" t="s">
        <v>20</v>
      </c>
      <c r="I499" s="5" t="s">
        <v>1323</v>
      </c>
      <c r="J499" s="12" t="str">
        <f>HYPERLINK("https://www.boe.es/gazeta/dias/1807/05/19/pdfs/GMD-1807-43.pdf#page=9","Abrir facsímil")</f>
        <v>Abrir facsímil</v>
      </c>
      <c r="K499" s="15" t="s">
        <v>22</v>
      </c>
    </row>
    <row r="500" spans="1:11" ht="42" customHeight="1">
      <c r="A500" s="4" t="s">
        <v>1324</v>
      </c>
      <c r="B500" s="5" t="s">
        <v>1325</v>
      </c>
      <c r="C500" s="5" t="s">
        <v>34</v>
      </c>
      <c r="D500" s="5" t="s">
        <v>35</v>
      </c>
      <c r="E500" s="5" t="s">
        <v>131</v>
      </c>
      <c r="F500" s="9">
        <v>28</v>
      </c>
      <c r="G500" s="9">
        <v>334</v>
      </c>
      <c r="H500" s="5" t="s">
        <v>20</v>
      </c>
      <c r="I500" s="5" t="s">
        <v>1326</v>
      </c>
      <c r="J500" s="12" t="str">
        <f>HYPERLINK("https://www.boe.es/gazeta/dias/1807/03/27/pdfs/GMD-1807-28.pdf#page=6","Abrir facsímil")</f>
        <v>Abrir facsímil</v>
      </c>
      <c r="K500" s="15" t="s">
        <v>22</v>
      </c>
    </row>
    <row r="501" spans="1:11" ht="42" customHeight="1">
      <c r="A501" s="4" t="s">
        <v>1327</v>
      </c>
      <c r="B501" s="5" t="s">
        <v>1328</v>
      </c>
      <c r="C501" s="5" t="s">
        <v>34</v>
      </c>
      <c r="D501" s="5" t="s">
        <v>35</v>
      </c>
      <c r="E501" s="5" t="s">
        <v>62</v>
      </c>
      <c r="F501" s="9">
        <v>68</v>
      </c>
      <c r="G501" s="9">
        <v>784</v>
      </c>
      <c r="H501" s="5" t="s">
        <v>20</v>
      </c>
      <c r="I501" s="5" t="s">
        <v>1329</v>
      </c>
      <c r="J501" s="12" t="str">
        <f>HYPERLINK("https://www.boe.es/gazeta/dias/1807/07/31/pdfs/GMD-1807-68.pdf#page=8","Abrir facsímil")</f>
        <v>Abrir facsímil</v>
      </c>
      <c r="K501" s="15" t="s">
        <v>22</v>
      </c>
    </row>
    <row r="502" spans="1:11" ht="42" customHeight="1">
      <c r="A502" s="4" t="s">
        <v>1330</v>
      </c>
      <c r="B502" s="5" t="s">
        <v>1331</v>
      </c>
      <c r="C502" s="5" t="s">
        <v>17</v>
      </c>
      <c r="D502" s="5" t="s">
        <v>18</v>
      </c>
      <c r="E502" s="5" t="s">
        <v>109</v>
      </c>
      <c r="F502" s="9">
        <v>58</v>
      </c>
      <c r="G502" s="9">
        <v>689</v>
      </c>
      <c r="H502" s="5" t="s">
        <v>20</v>
      </c>
      <c r="I502" s="5" t="s">
        <v>1332</v>
      </c>
      <c r="J502" s="12" t="str">
        <f>HYPERLINK("https://www.boe.es/gazeta/dias/1807/07/07/pdfs/GMD-1807-58.pdf#page=7","Abrir facsímil")</f>
        <v>Abrir facsímil</v>
      </c>
      <c r="K502" s="15" t="s">
        <v>22</v>
      </c>
    </row>
    <row r="503" spans="1:11" ht="42" customHeight="1">
      <c r="A503" s="4" t="s">
        <v>1333</v>
      </c>
      <c r="B503" s="5" t="s">
        <v>1334</v>
      </c>
      <c r="C503" s="5" t="s">
        <v>17</v>
      </c>
      <c r="D503" s="5" t="s">
        <v>18</v>
      </c>
      <c r="E503" s="5" t="s">
        <v>114</v>
      </c>
      <c r="F503" s="9">
        <v>46</v>
      </c>
      <c r="G503" s="9">
        <v>548</v>
      </c>
      <c r="H503" s="5" t="s">
        <v>20</v>
      </c>
      <c r="I503" s="5" t="s">
        <v>1335</v>
      </c>
      <c r="J503" s="12" t="str">
        <f>HYPERLINK("https://www.boe.es/gazeta/dias/1807/05/29/pdfs/GMD-1807-46.pdf#page=6","Abrir facsímil")</f>
        <v>Abrir facsímil</v>
      </c>
      <c r="K503" s="15" t="s">
        <v>22</v>
      </c>
    </row>
    <row r="504" spans="1:11" ht="42" customHeight="1">
      <c r="A504" s="4" t="s">
        <v>1336</v>
      </c>
      <c r="B504" s="5" t="s">
        <v>1337</v>
      </c>
      <c r="C504" s="5" t="s">
        <v>34</v>
      </c>
      <c r="D504" s="5" t="s">
        <v>35</v>
      </c>
      <c r="E504" s="5" t="s">
        <v>595</v>
      </c>
      <c r="F504" s="9">
        <v>59</v>
      </c>
      <c r="G504" s="9">
        <v>702</v>
      </c>
      <c r="H504" s="5" t="s">
        <v>20</v>
      </c>
      <c r="I504" s="5" t="s">
        <v>1338</v>
      </c>
      <c r="J504" s="12" t="str">
        <f>HYPERLINK("https://www.boe.es/gazeta/dias/1807/07/10/pdfs/GMD-1807-59.pdf#page=8","Abrir facsímil")</f>
        <v>Abrir facsímil</v>
      </c>
      <c r="K504" s="15" t="s">
        <v>22</v>
      </c>
    </row>
    <row r="505" spans="1:11" ht="42" customHeight="1">
      <c r="A505" s="4" t="s">
        <v>1339</v>
      </c>
      <c r="B505" s="5" t="s">
        <v>1339</v>
      </c>
      <c r="C505" s="5" t="s">
        <v>28</v>
      </c>
      <c r="D505" s="5" t="s">
        <v>29</v>
      </c>
      <c r="E505" s="5" t="s">
        <v>1340</v>
      </c>
      <c r="F505" s="9">
        <v>114</v>
      </c>
      <c r="G505" s="9">
        <v>1327</v>
      </c>
      <c r="H505" s="5" t="s">
        <v>20</v>
      </c>
      <c r="I505" s="5" t="s">
        <v>1341</v>
      </c>
      <c r="J505" s="12" t="str">
        <f>HYPERLINK("https://www.boe.es/gazeta/dias/1807/12/25/pdfs/GMD-1807-114.pdf#page=3","Abrir facsímil")</f>
        <v>Abrir facsímil</v>
      </c>
      <c r="K505" s="15" t="s">
        <v>22</v>
      </c>
    </row>
    <row r="506" spans="1:11" ht="42" customHeight="1">
      <c r="A506" s="4" t="s">
        <v>1342</v>
      </c>
      <c r="B506" s="5" t="s">
        <v>1343</v>
      </c>
      <c r="C506" s="5" t="s">
        <v>28</v>
      </c>
      <c r="D506" s="5" t="s">
        <v>29</v>
      </c>
      <c r="E506" s="5" t="s">
        <v>282</v>
      </c>
      <c r="F506" s="9">
        <v>16</v>
      </c>
      <c r="G506" s="9">
        <v>187</v>
      </c>
      <c r="H506" s="5" t="s">
        <v>20</v>
      </c>
      <c r="I506" s="5" t="s">
        <v>1344</v>
      </c>
      <c r="J506" s="12" t="str">
        <f>HYPERLINK("https://www.boe.es/gazeta/dias/1807/02/17/pdfs/GMD-1807-16.pdf#page=11","Abrir facsímil")</f>
        <v>Abrir facsímil</v>
      </c>
      <c r="K506" s="15" t="s">
        <v>22</v>
      </c>
    </row>
    <row r="507" spans="1:11" ht="42" customHeight="1">
      <c r="A507" s="4" t="s">
        <v>1345</v>
      </c>
      <c r="B507" s="5" t="s">
        <v>1346</v>
      </c>
      <c r="C507" s="5" t="s">
        <v>34</v>
      </c>
      <c r="D507" s="5" t="s">
        <v>35</v>
      </c>
      <c r="E507" s="5" t="s">
        <v>620</v>
      </c>
      <c r="F507" s="9">
        <v>84</v>
      </c>
      <c r="G507" s="9">
        <v>981</v>
      </c>
      <c r="H507" s="5" t="s">
        <v>20</v>
      </c>
      <c r="I507" s="5" t="s">
        <v>1347</v>
      </c>
      <c r="J507" s="12" t="str">
        <f>HYPERLINK("https://www.boe.es/gazeta/dias/1807/09/22/pdfs/GMD-1807-84.pdf#page=9","Abrir facsímil")</f>
        <v>Abrir facsímil</v>
      </c>
      <c r="K507" s="15" t="s">
        <v>22</v>
      </c>
    </row>
    <row r="508" spans="1:11" ht="42" customHeight="1">
      <c r="A508" s="4" t="s">
        <v>1348</v>
      </c>
      <c r="B508" s="5" t="s">
        <v>1348</v>
      </c>
      <c r="C508" s="5" t="s">
        <v>49</v>
      </c>
      <c r="D508" s="5" t="s">
        <v>50</v>
      </c>
      <c r="E508" s="5" t="s">
        <v>51</v>
      </c>
      <c r="F508" s="9">
        <v>62</v>
      </c>
      <c r="G508" s="9">
        <v>731</v>
      </c>
      <c r="H508" s="5" t="s">
        <v>20</v>
      </c>
      <c r="I508" s="5" t="s">
        <v>1349</v>
      </c>
      <c r="J508" s="12" t="str">
        <f>HYPERLINK("https://www.boe.es/gazeta/dias/1807/07/17/pdfs/GMD-1807-62.pdf#page=5","Abrir facsímil")</f>
        <v>Abrir facsímil</v>
      </c>
      <c r="K508" s="15" t="s">
        <v>22</v>
      </c>
    </row>
    <row r="509" spans="1:11" ht="42" customHeight="1">
      <c r="A509" s="4" t="s">
        <v>1348</v>
      </c>
      <c r="B509" s="5" t="s">
        <v>1348</v>
      </c>
      <c r="C509" s="5" t="s">
        <v>49</v>
      </c>
      <c r="D509" s="5" t="s">
        <v>50</v>
      </c>
      <c r="E509" s="5" t="s">
        <v>123</v>
      </c>
      <c r="F509" s="9">
        <v>70</v>
      </c>
      <c r="G509" s="9">
        <v>801</v>
      </c>
      <c r="H509" s="5" t="s">
        <v>20</v>
      </c>
      <c r="I509" s="5" t="s">
        <v>1350</v>
      </c>
      <c r="J509" s="12" t="str">
        <f>HYPERLINK("https://www.boe.es/gazeta/dias/1807/08/04/pdfs/GMD-1807-70.pdf#page=5","Abrir facsímil")</f>
        <v>Abrir facsímil</v>
      </c>
      <c r="K509" s="15" t="s">
        <v>22</v>
      </c>
    </row>
    <row r="510" spans="1:11" ht="42" customHeight="1">
      <c r="A510" s="4" t="s">
        <v>1348</v>
      </c>
      <c r="B510" s="5" t="s">
        <v>1348</v>
      </c>
      <c r="C510" s="5" t="s">
        <v>49</v>
      </c>
      <c r="D510" s="5" t="s">
        <v>50</v>
      </c>
      <c r="E510" s="5" t="s">
        <v>167</v>
      </c>
      <c r="F510" s="9">
        <v>77</v>
      </c>
      <c r="G510" s="9">
        <v>888</v>
      </c>
      <c r="H510" s="5" t="s">
        <v>20</v>
      </c>
      <c r="I510" s="5" t="s">
        <v>1351</v>
      </c>
      <c r="J510" s="12" t="str">
        <f>HYPERLINK("https://www.boe.es/gazeta/dias/1807/08/28/pdfs/GMD-1807-77.pdf#page=4","Abrir facsímil")</f>
        <v>Abrir facsímil</v>
      </c>
      <c r="K510" s="15" t="s">
        <v>22</v>
      </c>
    </row>
    <row r="511" spans="1:11" ht="42" customHeight="1">
      <c r="A511" s="4" t="s">
        <v>1352</v>
      </c>
      <c r="B511" s="5" t="s">
        <v>1353</v>
      </c>
      <c r="C511" s="5" t="s">
        <v>24</v>
      </c>
      <c r="D511" s="5" t="s">
        <v>18</v>
      </c>
      <c r="E511" s="5" t="s">
        <v>1354</v>
      </c>
      <c r="F511" s="9">
        <v>83</v>
      </c>
      <c r="G511" s="9">
        <v>971</v>
      </c>
      <c r="H511" s="5" t="s">
        <v>20</v>
      </c>
      <c r="I511" s="5" t="s">
        <v>1355</v>
      </c>
      <c r="J511" s="12" t="str">
        <f>HYPERLINK("https://www.boe.es/gazeta/dias/1807/09/18/pdfs/GMD-1807-83.pdf#page=11","Abrir facsímil")</f>
        <v>Abrir facsímil</v>
      </c>
      <c r="K511" s="15" t="s">
        <v>22</v>
      </c>
    </row>
    <row r="512" spans="1:11" ht="42" customHeight="1">
      <c r="A512" s="4" t="s">
        <v>1356</v>
      </c>
      <c r="B512" s="5" t="s">
        <v>1357</v>
      </c>
      <c r="C512" s="5" t="s">
        <v>17</v>
      </c>
      <c r="D512" s="5" t="s">
        <v>18</v>
      </c>
      <c r="E512" s="5" t="s">
        <v>393</v>
      </c>
      <c r="F512" s="9">
        <v>15</v>
      </c>
      <c r="G512" s="9">
        <v>172</v>
      </c>
      <c r="H512" s="5" t="s">
        <v>20</v>
      </c>
      <c r="I512" s="5" t="s">
        <v>1358</v>
      </c>
      <c r="J512" s="12" t="str">
        <f>HYPERLINK("https://www.boe.es/gazeta/dias/1807/02/13/pdfs/GMD-1807-15.pdf#page=8","Abrir facsímil")</f>
        <v>Abrir facsímil</v>
      </c>
      <c r="K512" s="15" t="s">
        <v>22</v>
      </c>
    </row>
    <row r="513" spans="1:11" ht="42" customHeight="1">
      <c r="A513" s="4" t="s">
        <v>1359</v>
      </c>
      <c r="B513" s="5" t="s">
        <v>1360</v>
      </c>
      <c r="C513" s="5" t="s">
        <v>34</v>
      </c>
      <c r="D513" s="5" t="s">
        <v>35</v>
      </c>
      <c r="E513" s="5" t="s">
        <v>654</v>
      </c>
      <c r="F513" s="9">
        <v>94</v>
      </c>
      <c r="G513" s="9">
        <v>1093</v>
      </c>
      <c r="H513" s="5" t="s">
        <v>20</v>
      </c>
      <c r="I513" s="5" t="s">
        <v>1361</v>
      </c>
      <c r="J513" s="12" t="str">
        <f>HYPERLINK("https://www.boe.es/gazeta/dias/1807/10/20/pdfs/GMD-1807-94.pdf#page=9","Abrir facsímil")</f>
        <v>Abrir facsímil</v>
      </c>
      <c r="K513" s="15" t="s">
        <v>22</v>
      </c>
    </row>
    <row r="514" spans="1:11" ht="42" customHeight="1">
      <c r="A514" s="4" t="s">
        <v>1362</v>
      </c>
      <c r="B514" s="5" t="s">
        <v>1363</v>
      </c>
      <c r="C514" s="5" t="s">
        <v>34</v>
      </c>
      <c r="D514" s="5" t="s">
        <v>35</v>
      </c>
      <c r="E514" s="5" t="s">
        <v>46</v>
      </c>
      <c r="F514" s="9">
        <v>78</v>
      </c>
      <c r="G514" s="9">
        <v>905</v>
      </c>
      <c r="H514" s="5" t="s">
        <v>20</v>
      </c>
      <c r="I514" s="5" t="s">
        <v>1364</v>
      </c>
      <c r="J514" s="12" t="str">
        <f>HYPERLINK("https://www.boe.es/gazeta/dias/1807/09/01/pdfs/GMD-1807-78.pdf#page=9","Abrir facsímil")</f>
        <v>Abrir facsímil</v>
      </c>
      <c r="K514" s="15" t="s">
        <v>22</v>
      </c>
    </row>
    <row r="515" spans="1:11" ht="42" customHeight="1">
      <c r="A515" s="4" t="s">
        <v>1365</v>
      </c>
      <c r="B515" s="5" t="s">
        <v>1366</v>
      </c>
      <c r="C515" s="5" t="s">
        <v>34</v>
      </c>
      <c r="D515" s="5" t="s">
        <v>35</v>
      </c>
      <c r="E515" s="5" t="s">
        <v>686</v>
      </c>
      <c r="F515" s="9">
        <v>106</v>
      </c>
      <c r="G515" s="9">
        <v>1229</v>
      </c>
      <c r="H515" s="5" t="s">
        <v>20</v>
      </c>
      <c r="I515" s="5" t="s">
        <v>1367</v>
      </c>
      <c r="J515" s="12" t="str">
        <f>HYPERLINK("https://www.boe.es/gazeta/dias/1807/11/27/pdfs/GMD-1807-106.pdf#page=1","Abrir facsímil")</f>
        <v>Abrir facsímil</v>
      </c>
      <c r="K515" s="15" t="s">
        <v>22</v>
      </c>
    </row>
    <row r="516" spans="1:11" ht="42" customHeight="1">
      <c r="A516" s="4" t="s">
        <v>1368</v>
      </c>
      <c r="B516" s="5" t="s">
        <v>1369</v>
      </c>
      <c r="C516" s="5" t="s">
        <v>28</v>
      </c>
      <c r="D516" s="5" t="s">
        <v>29</v>
      </c>
      <c r="E516" s="5" t="s">
        <v>104</v>
      </c>
      <c r="F516" s="9">
        <v>25</v>
      </c>
      <c r="G516" s="9">
        <v>302</v>
      </c>
      <c r="H516" s="5" t="s">
        <v>20</v>
      </c>
      <c r="I516" s="5" t="s">
        <v>1370</v>
      </c>
      <c r="J516" s="12" t="str">
        <f>HYPERLINK("https://www.boe.es/gazeta/dias/1807/03/17/pdfs/GMD-1807-25.pdf#page=10","Abrir facsímil")</f>
        <v>Abrir facsímil</v>
      </c>
      <c r="K516" s="15" t="s">
        <v>22</v>
      </c>
    </row>
    <row r="517" spans="1:11" ht="42" customHeight="1">
      <c r="A517" s="4" t="s">
        <v>1371</v>
      </c>
      <c r="B517" s="5" t="s">
        <v>1372</v>
      </c>
      <c r="C517" s="5" t="s">
        <v>28</v>
      </c>
      <c r="D517" s="5" t="s">
        <v>29</v>
      </c>
      <c r="E517" s="5" t="s">
        <v>53</v>
      </c>
      <c r="F517" s="9">
        <v>64</v>
      </c>
      <c r="G517" s="9">
        <v>749</v>
      </c>
      <c r="H517" s="5" t="s">
        <v>20</v>
      </c>
      <c r="I517" s="5" t="s">
        <v>1373</v>
      </c>
      <c r="J517" s="12" t="str">
        <f>HYPERLINK("https://www.boe.es/gazeta/dias/1807/07/21/pdfs/GMD-1807-64.pdf#page=11","Abrir facsímil")</f>
        <v>Abrir facsímil</v>
      </c>
      <c r="K517" s="15" t="s">
        <v>22</v>
      </c>
    </row>
    <row r="518" spans="1:11" ht="42" customHeight="1">
      <c r="A518" s="4" t="s">
        <v>1371</v>
      </c>
      <c r="B518" s="5" t="s">
        <v>1372</v>
      </c>
      <c r="C518" s="5" t="s">
        <v>28</v>
      </c>
      <c r="D518" s="5" t="s">
        <v>29</v>
      </c>
      <c r="E518" s="5" t="s">
        <v>754</v>
      </c>
      <c r="F518" s="9">
        <v>103</v>
      </c>
      <c r="G518" s="9">
        <v>1203</v>
      </c>
      <c r="H518" s="5" t="s">
        <v>20</v>
      </c>
      <c r="I518" s="5" t="s">
        <v>1374</v>
      </c>
      <c r="J518" s="12" t="str">
        <f>HYPERLINK("https://www.boe.es/gazeta/dias/1807/11/20/pdfs/GMD-1807-103.pdf#page=11","Abrir facsímil")</f>
        <v>Abrir facsímil</v>
      </c>
      <c r="K518" s="15" t="s">
        <v>22</v>
      </c>
    </row>
    <row r="519" spans="1:11" ht="42" customHeight="1">
      <c r="A519" s="4" t="s">
        <v>1375</v>
      </c>
      <c r="B519" s="5" t="s">
        <v>1376</v>
      </c>
      <c r="C519" s="5" t="s">
        <v>28</v>
      </c>
      <c r="D519" s="5" t="s">
        <v>29</v>
      </c>
      <c r="E519" s="5" t="s">
        <v>561</v>
      </c>
      <c r="F519" s="9">
        <v>44</v>
      </c>
      <c r="G519" s="9">
        <v>524</v>
      </c>
      <c r="H519" s="5" t="s">
        <v>20</v>
      </c>
      <c r="I519" s="5" t="s">
        <v>1377</v>
      </c>
      <c r="J519" s="12" t="str">
        <f>HYPERLINK("https://www.boe.es/gazeta/dias/1807/05/22/pdfs/GMD-1807-44.pdf#page=6","Abrir facsímil")</f>
        <v>Abrir facsímil</v>
      </c>
      <c r="K519" s="15" t="s">
        <v>22</v>
      </c>
    </row>
    <row r="520" spans="1:11" ht="42" customHeight="1">
      <c r="A520" s="4" t="s">
        <v>1378</v>
      </c>
      <c r="B520" s="5" t="s">
        <v>1379</v>
      </c>
      <c r="C520" s="5" t="s">
        <v>17</v>
      </c>
      <c r="D520" s="5" t="s">
        <v>18</v>
      </c>
      <c r="E520" s="5" t="s">
        <v>426</v>
      </c>
      <c r="F520" s="9">
        <v>93</v>
      </c>
      <c r="G520" s="9">
        <v>1083</v>
      </c>
      <c r="H520" s="5" t="s">
        <v>20</v>
      </c>
      <c r="I520" s="5" t="s">
        <v>1380</v>
      </c>
      <c r="J520" s="12" t="str">
        <f>HYPERLINK("https://www.boe.es/gazeta/dias/1807/10/16/pdfs/GMD-1807-93.pdf#page=11","Abrir facsímil")</f>
        <v>Abrir facsímil</v>
      </c>
      <c r="K520" s="15" t="s">
        <v>22</v>
      </c>
    </row>
    <row r="521" spans="1:11" ht="42" customHeight="1">
      <c r="A521" s="4" t="s">
        <v>1381</v>
      </c>
      <c r="B521" s="5" t="s">
        <v>1382</v>
      </c>
      <c r="C521" s="5" t="s">
        <v>34</v>
      </c>
      <c r="D521" s="5" t="s">
        <v>35</v>
      </c>
      <c r="E521" s="5" t="s">
        <v>152</v>
      </c>
      <c r="F521" s="9">
        <v>61</v>
      </c>
      <c r="G521" s="9">
        <v>720</v>
      </c>
      <c r="H521" s="5" t="s">
        <v>20</v>
      </c>
      <c r="I521" s="5" t="s">
        <v>1383</v>
      </c>
      <c r="J521" s="12" t="str">
        <f>HYPERLINK("https://www.boe.es/gazeta/dias/1807/07/14/pdfs/GMD-1807-61.pdf#page=6","Abrir facsímil")</f>
        <v>Abrir facsímil</v>
      </c>
      <c r="K521" s="15" t="s">
        <v>22</v>
      </c>
    </row>
    <row r="522" spans="1:11" ht="42" customHeight="1">
      <c r="A522" s="4" t="s">
        <v>1384</v>
      </c>
      <c r="B522" s="5" t="s">
        <v>1385</v>
      </c>
      <c r="C522" s="5" t="s">
        <v>34</v>
      </c>
      <c r="D522" s="5" t="s">
        <v>35</v>
      </c>
      <c r="E522" s="5" t="s">
        <v>384</v>
      </c>
      <c r="F522" s="9">
        <v>111</v>
      </c>
      <c r="G522" s="9">
        <v>1298</v>
      </c>
      <c r="H522" s="5" t="s">
        <v>20</v>
      </c>
      <c r="I522" s="5" t="s">
        <v>1386</v>
      </c>
      <c r="J522" s="12" t="str">
        <f>HYPERLINK("https://www.boe.es/gazeta/dias/1807/12/15/pdfs/GMD-1807-111.pdf#page=10","Abrir facsímil")</f>
        <v>Abrir facsímil</v>
      </c>
      <c r="K522" s="15" t="s">
        <v>22</v>
      </c>
    </row>
    <row r="523" spans="1:11" ht="42" customHeight="1">
      <c r="A523" s="4" t="s">
        <v>1387</v>
      </c>
      <c r="B523" s="5" t="s">
        <v>1388</v>
      </c>
      <c r="C523" s="5" t="s">
        <v>28</v>
      </c>
      <c r="D523" s="5" t="s">
        <v>29</v>
      </c>
      <c r="E523" s="5" t="s">
        <v>42</v>
      </c>
      <c r="F523" s="9">
        <v>31</v>
      </c>
      <c r="G523" s="9">
        <v>367</v>
      </c>
      <c r="H523" s="5" t="s">
        <v>20</v>
      </c>
      <c r="I523" s="5" t="s">
        <v>1389</v>
      </c>
      <c r="J523" s="12" t="str">
        <f>HYPERLINK("https://www.boe.es/gazeta/dias/1807/04/07/pdfs/GMD-1807-31.pdf#page=7","Abrir facsímil")</f>
        <v>Abrir facsímil</v>
      </c>
      <c r="K523" s="15" t="s">
        <v>22</v>
      </c>
    </row>
    <row r="524" spans="1:11" ht="42" customHeight="1">
      <c r="A524" s="4" t="s">
        <v>1390</v>
      </c>
      <c r="B524" s="5" t="s">
        <v>1391</v>
      </c>
      <c r="C524" s="5" t="s">
        <v>34</v>
      </c>
      <c r="D524" s="5" t="s">
        <v>35</v>
      </c>
      <c r="E524" s="5" t="s">
        <v>595</v>
      </c>
      <c r="F524" s="9">
        <v>59</v>
      </c>
      <c r="G524" s="9">
        <v>702</v>
      </c>
      <c r="H524" s="5" t="s">
        <v>20</v>
      </c>
      <c r="I524" s="5" t="s">
        <v>1392</v>
      </c>
      <c r="J524" s="12" t="str">
        <f>HYPERLINK("https://www.boe.es/gazeta/dias/1807/07/10/pdfs/GMD-1807-59.pdf#page=8","Abrir facsímil")</f>
        <v>Abrir facsímil</v>
      </c>
      <c r="K524" s="15" t="s">
        <v>22</v>
      </c>
    </row>
    <row r="525" spans="1:11" ht="42" customHeight="1">
      <c r="A525" s="4" t="s">
        <v>1393</v>
      </c>
      <c r="B525" s="5" t="s">
        <v>1394</v>
      </c>
      <c r="C525" s="5" t="s">
        <v>34</v>
      </c>
      <c r="D525" s="5" t="s">
        <v>35</v>
      </c>
      <c r="E525" s="5" t="s">
        <v>471</v>
      </c>
      <c r="F525" s="9">
        <v>51</v>
      </c>
      <c r="G525" s="9">
        <v>605</v>
      </c>
      <c r="H525" s="5" t="s">
        <v>20</v>
      </c>
      <c r="I525" s="5" t="s">
        <v>1395</v>
      </c>
      <c r="J525" s="12" t="str">
        <f>HYPERLINK("https://www.boe.es/gazeta/dias/1807/06/16/pdfs/GMD-1807-51.pdf#page=7","Abrir facsímil")</f>
        <v>Abrir facsímil</v>
      </c>
      <c r="K525" s="15" t="s">
        <v>22</v>
      </c>
    </row>
    <row r="526" spans="1:11" ht="42" customHeight="1">
      <c r="A526" s="4" t="s">
        <v>1396</v>
      </c>
      <c r="B526" s="5" t="s">
        <v>1397</v>
      </c>
      <c r="C526" s="5" t="s">
        <v>34</v>
      </c>
      <c r="D526" s="5" t="s">
        <v>35</v>
      </c>
      <c r="E526" s="5" t="s">
        <v>530</v>
      </c>
      <c r="F526" s="9">
        <v>79</v>
      </c>
      <c r="G526" s="9">
        <v>918</v>
      </c>
      <c r="H526" s="5" t="s">
        <v>20</v>
      </c>
      <c r="I526" s="5" t="s">
        <v>1398</v>
      </c>
      <c r="J526" s="12" t="str">
        <f>HYPERLINK("https://www.boe.es/gazeta/dias/1807/09/04/pdfs/GMD-1807-79.pdf#page=10","Abrir facsímil")</f>
        <v>Abrir facsímil</v>
      </c>
      <c r="K526" s="15" t="s">
        <v>22</v>
      </c>
    </row>
    <row r="527" spans="1:11" ht="42" customHeight="1">
      <c r="A527" s="4" t="s">
        <v>1399</v>
      </c>
      <c r="B527" s="5" t="s">
        <v>1399</v>
      </c>
      <c r="C527" s="5" t="s">
        <v>28</v>
      </c>
      <c r="D527" s="5" t="s">
        <v>29</v>
      </c>
      <c r="E527" s="5" t="s">
        <v>111</v>
      </c>
      <c r="F527" s="9">
        <v>90</v>
      </c>
      <c r="G527" s="9">
        <v>1046</v>
      </c>
      <c r="H527" s="5" t="s">
        <v>20</v>
      </c>
      <c r="I527" s="5" t="s">
        <v>1400</v>
      </c>
      <c r="J527" s="12" t="str">
        <f>HYPERLINK("https://www.boe.es/gazeta/dias/1807/10/06/pdfs/GMD-1807-90.pdf#page=14","Abrir facsímil")</f>
        <v>Abrir facsímil</v>
      </c>
      <c r="K527" s="15" t="s">
        <v>22</v>
      </c>
    </row>
    <row r="528" spans="1:11" ht="42" customHeight="1">
      <c r="A528" s="4" t="s">
        <v>1401</v>
      </c>
      <c r="B528" s="5" t="s">
        <v>1401</v>
      </c>
      <c r="C528" s="5" t="s">
        <v>34</v>
      </c>
      <c r="D528" s="5" t="s">
        <v>35</v>
      </c>
      <c r="E528" s="5" t="s">
        <v>104</v>
      </c>
      <c r="F528" s="9">
        <v>25</v>
      </c>
      <c r="G528" s="9">
        <v>301</v>
      </c>
      <c r="H528" s="5" t="s">
        <v>20</v>
      </c>
      <c r="I528" s="5" t="s">
        <v>1402</v>
      </c>
      <c r="J528" s="12" t="str">
        <f>HYPERLINK("https://www.boe.es/gazeta/dias/1807/03/17/pdfs/GMD-1807-25.pdf#page=9","Abrir facsímil")</f>
        <v>Abrir facsímil</v>
      </c>
      <c r="K528" s="15" t="s">
        <v>22</v>
      </c>
    </row>
    <row r="529" spans="1:11" ht="42" customHeight="1">
      <c r="A529" s="4" t="s">
        <v>1403</v>
      </c>
      <c r="B529" s="5" t="s">
        <v>1404</v>
      </c>
      <c r="C529" s="5" t="s">
        <v>24</v>
      </c>
      <c r="D529" s="5" t="s">
        <v>18</v>
      </c>
      <c r="E529" s="5" t="s">
        <v>224</v>
      </c>
      <c r="F529" s="9">
        <v>91</v>
      </c>
      <c r="G529" s="9">
        <v>1059</v>
      </c>
      <c r="H529" s="5" t="s">
        <v>20</v>
      </c>
      <c r="I529" s="5" t="s">
        <v>1405</v>
      </c>
      <c r="J529" s="12" t="str">
        <f>HYPERLINK("https://www.boe.es/gazeta/dias/1807/10/09/pdfs/GMD-1807-91.pdf#page=11","Abrir facsímil")</f>
        <v>Abrir facsímil</v>
      </c>
      <c r="K529" s="15" t="s">
        <v>22</v>
      </c>
    </row>
    <row r="530" spans="1:11" ht="42" customHeight="1">
      <c r="A530" s="4" t="s">
        <v>1406</v>
      </c>
      <c r="B530" s="5" t="s">
        <v>1407</v>
      </c>
      <c r="C530" s="5" t="s">
        <v>28</v>
      </c>
      <c r="D530" s="5" t="s">
        <v>29</v>
      </c>
      <c r="E530" s="5" t="s">
        <v>65</v>
      </c>
      <c r="F530" s="9">
        <v>52</v>
      </c>
      <c r="G530" s="9">
        <v>625</v>
      </c>
      <c r="H530" s="5" t="s">
        <v>20</v>
      </c>
      <c r="I530" s="5" t="s">
        <v>1408</v>
      </c>
      <c r="J530" s="12" t="str">
        <f>HYPERLINK("https://www.boe.es/gazeta/dias/1807/06/19/pdfs/GMD-1807-52.pdf#page=15","Abrir facsímil")</f>
        <v>Abrir facsímil</v>
      </c>
      <c r="K530" s="15" t="s">
        <v>22</v>
      </c>
    </row>
    <row r="531" spans="1:11" ht="42" customHeight="1">
      <c r="A531" s="4" t="s">
        <v>1409</v>
      </c>
      <c r="B531" s="5" t="s">
        <v>1410</v>
      </c>
      <c r="C531" s="5" t="s">
        <v>17</v>
      </c>
      <c r="D531" s="5" t="s">
        <v>18</v>
      </c>
      <c r="E531" s="5" t="s">
        <v>654</v>
      </c>
      <c r="F531" s="9">
        <v>94</v>
      </c>
      <c r="G531" s="9">
        <v>1092</v>
      </c>
      <c r="H531" s="5" t="s">
        <v>20</v>
      </c>
      <c r="I531" s="5" t="s">
        <v>1411</v>
      </c>
      <c r="J531" s="12" t="str">
        <f>HYPERLINK("https://www.boe.es/gazeta/dias/1807/10/20/pdfs/GMD-1807-94.pdf#page=8","Abrir facsímil")</f>
        <v>Abrir facsímil</v>
      </c>
      <c r="K531" s="15" t="s">
        <v>22</v>
      </c>
    </row>
    <row r="532" spans="1:11" ht="42" customHeight="1">
      <c r="A532" s="4" t="s">
        <v>1412</v>
      </c>
      <c r="B532" s="5" t="s">
        <v>1413</v>
      </c>
      <c r="C532" s="5" t="s">
        <v>49</v>
      </c>
      <c r="D532" s="5" t="s">
        <v>50</v>
      </c>
      <c r="E532" s="5" t="s">
        <v>30</v>
      </c>
      <c r="F532" s="9">
        <v>13</v>
      </c>
      <c r="G532" s="9">
        <v>145</v>
      </c>
      <c r="H532" s="5" t="s">
        <v>20</v>
      </c>
      <c r="I532" s="5" t="s">
        <v>1414</v>
      </c>
      <c r="J532" s="12" t="str">
        <f>HYPERLINK("https://www.boe.es/gazeta/dias/1807/02/06/pdfs/GMD-1807-13.pdf#page=5","Abrir facsímil")</f>
        <v>Abrir facsímil</v>
      </c>
      <c r="K532" s="15" t="s">
        <v>22</v>
      </c>
    </row>
    <row r="533" spans="1:11" ht="42" customHeight="1">
      <c r="A533" s="4" t="s">
        <v>1415</v>
      </c>
      <c r="B533" s="5" t="s">
        <v>1415</v>
      </c>
      <c r="C533" s="5" t="s">
        <v>49</v>
      </c>
      <c r="D533" s="5" t="s">
        <v>50</v>
      </c>
      <c r="E533" s="5" t="s">
        <v>447</v>
      </c>
      <c r="F533" s="9">
        <v>65</v>
      </c>
      <c r="G533" s="9">
        <v>754</v>
      </c>
      <c r="H533" s="5" t="s">
        <v>20</v>
      </c>
      <c r="I533" s="5" t="s">
        <v>1416</v>
      </c>
      <c r="J533" s="12" t="str">
        <f>HYPERLINK("https://www.boe.es/gazeta/dias/1807/07/24/pdfs/GMD-1807-65.pdf#page=4","Abrir facsímil")</f>
        <v>Abrir facsímil</v>
      </c>
      <c r="K533" s="15" t="s">
        <v>22</v>
      </c>
    </row>
    <row r="534" spans="1:11" ht="42" customHeight="1">
      <c r="A534" s="4" t="s">
        <v>1417</v>
      </c>
      <c r="B534" s="5" t="s">
        <v>1418</v>
      </c>
      <c r="C534" s="5" t="s">
        <v>69</v>
      </c>
      <c r="D534" s="5" t="s">
        <v>70</v>
      </c>
      <c r="E534" s="5" t="s">
        <v>71</v>
      </c>
      <c r="F534" s="9">
        <v>35</v>
      </c>
      <c r="G534" s="9" t="s">
        <v>72</v>
      </c>
      <c r="H534" s="5" t="s">
        <v>20</v>
      </c>
      <c r="I534" s="5" t="s">
        <v>1419</v>
      </c>
      <c r="J534" s="12" t="str">
        <f>HYPERLINK("https://www.boe.es/gazeta/dias/1807/04/21/pdfs/C00001-00004.pdf#page=1","Abrir facsímil")</f>
        <v>Abrir facsímil</v>
      </c>
      <c r="K534" s="15" t="s">
        <v>22</v>
      </c>
    </row>
    <row r="535" spans="1:11" ht="42" customHeight="1">
      <c r="A535" s="4" t="s">
        <v>1420</v>
      </c>
      <c r="B535" s="5" t="s">
        <v>1421</v>
      </c>
      <c r="C535" s="5" t="s">
        <v>34</v>
      </c>
      <c r="D535" s="5" t="s">
        <v>35</v>
      </c>
      <c r="E535" s="5" t="s">
        <v>376</v>
      </c>
      <c r="F535" s="9">
        <v>19</v>
      </c>
      <c r="G535" s="9">
        <v>225</v>
      </c>
      <c r="H535" s="5" t="s">
        <v>20</v>
      </c>
      <c r="I535" s="5" t="s">
        <v>1422</v>
      </c>
      <c r="J535" s="12" t="str">
        <f>HYPERLINK("https://www.boe.es/gazeta/dias/1807/02/27/pdfs/GMD-1807-19.pdf#page=9","Abrir facsímil")</f>
        <v>Abrir facsímil</v>
      </c>
      <c r="K535" s="15" t="s">
        <v>22</v>
      </c>
    </row>
    <row r="536" spans="1:11" ht="42" customHeight="1">
      <c r="A536" s="4" t="s">
        <v>1423</v>
      </c>
      <c r="B536" s="5" t="s">
        <v>1424</v>
      </c>
      <c r="C536" s="5" t="s">
        <v>34</v>
      </c>
      <c r="D536" s="5" t="s">
        <v>35</v>
      </c>
      <c r="E536" s="5" t="s">
        <v>76</v>
      </c>
      <c r="F536" s="9">
        <v>7</v>
      </c>
      <c r="G536" s="9">
        <v>72</v>
      </c>
      <c r="H536" s="5" t="s">
        <v>20</v>
      </c>
      <c r="I536" s="5" t="s">
        <v>1425</v>
      </c>
      <c r="J536" s="12" t="str">
        <f>HYPERLINK("https://www.boe.es/gazeta/dias/1807/01/20/pdfs/GMD-1807-7.pdf#page=4","Abrir facsímil")</f>
        <v>Abrir facsímil</v>
      </c>
      <c r="K536" s="15" t="s">
        <v>22</v>
      </c>
    </row>
    <row r="537" spans="1:11" ht="42" customHeight="1">
      <c r="A537" s="4" t="s">
        <v>1423</v>
      </c>
      <c r="B537" s="5" t="s">
        <v>1424</v>
      </c>
      <c r="C537" s="5" t="s">
        <v>49</v>
      </c>
      <c r="D537" s="5" t="s">
        <v>50</v>
      </c>
      <c r="E537" s="5" t="s">
        <v>282</v>
      </c>
      <c r="F537" s="9">
        <v>16</v>
      </c>
      <c r="G537" s="9">
        <v>178</v>
      </c>
      <c r="H537" s="5" t="s">
        <v>20</v>
      </c>
      <c r="I537" s="5" t="s">
        <v>1426</v>
      </c>
      <c r="J537" s="12" t="str">
        <f>HYPERLINK("https://www.boe.es/gazeta/dias/1807/02/17/pdfs/GMD-1807-16.pdf#page=2","Abrir facsímil")</f>
        <v>Abrir facsímil</v>
      </c>
      <c r="K537" s="15" t="s">
        <v>22</v>
      </c>
    </row>
    <row r="538" spans="1:11" ht="42" customHeight="1">
      <c r="A538" s="4" t="s">
        <v>1427</v>
      </c>
      <c r="B538" s="5" t="s">
        <v>1427</v>
      </c>
      <c r="C538" s="5" t="s">
        <v>89</v>
      </c>
      <c r="D538" s="5" t="s">
        <v>90</v>
      </c>
      <c r="E538" s="5" t="s">
        <v>36</v>
      </c>
      <c r="F538" s="9">
        <v>36</v>
      </c>
      <c r="G538" s="9">
        <v>432</v>
      </c>
      <c r="H538" s="5" t="s">
        <v>20</v>
      </c>
      <c r="I538" s="5" t="s">
        <v>1428</v>
      </c>
      <c r="J538" s="12" t="str">
        <f>HYPERLINK("https://www.boe.es/gazeta/dias/1807/04/24/pdfs/GMD-1807-36.pdf#page=12","Abrir facsímil")</f>
        <v>Abrir facsímil</v>
      </c>
      <c r="K538" s="15" t="s">
        <v>22</v>
      </c>
    </row>
    <row r="539" spans="1:11" ht="42" customHeight="1">
      <c r="A539" s="4" t="s">
        <v>1429</v>
      </c>
      <c r="B539" s="5" t="s">
        <v>1429</v>
      </c>
      <c r="C539" s="5" t="s">
        <v>34</v>
      </c>
      <c r="D539" s="5" t="s">
        <v>35</v>
      </c>
      <c r="E539" s="5" t="s">
        <v>76</v>
      </c>
      <c r="F539" s="9">
        <v>7</v>
      </c>
      <c r="G539" s="9">
        <v>78</v>
      </c>
      <c r="H539" s="5" t="s">
        <v>20</v>
      </c>
      <c r="I539" s="5" t="s">
        <v>1430</v>
      </c>
      <c r="J539" s="12" t="str">
        <f>HYPERLINK("https://www.boe.es/gazeta/dias/1807/01/20/pdfs/GMD-1807-7.pdf#page=10","Abrir facsímil")</f>
        <v>Abrir facsímil</v>
      </c>
      <c r="K539" s="15" t="s">
        <v>22</v>
      </c>
    </row>
    <row r="540" spans="1:11" ht="42" customHeight="1">
      <c r="A540" s="4" t="s">
        <v>1431</v>
      </c>
      <c r="B540" s="5" t="s">
        <v>1431</v>
      </c>
      <c r="C540" s="5" t="s">
        <v>34</v>
      </c>
      <c r="D540" s="5" t="s">
        <v>35</v>
      </c>
      <c r="E540" s="5" t="s">
        <v>314</v>
      </c>
      <c r="F540" s="9" t="s">
        <v>315</v>
      </c>
      <c r="G540" s="9">
        <v>1220</v>
      </c>
      <c r="H540" s="5" t="s">
        <v>20</v>
      </c>
      <c r="I540" s="5" t="s">
        <v>1432</v>
      </c>
      <c r="J540" s="12" t="str">
        <f>HYPERLINK("https://www.boe.es/gazeta/dias/1807/11/26/pdfs/GMD-1807-105E.pdf#page=4","Abrir facsímil")</f>
        <v>Abrir facsímil</v>
      </c>
      <c r="K540" s="15" t="s">
        <v>22</v>
      </c>
    </row>
    <row r="541" spans="1:11" ht="42" customHeight="1">
      <c r="A541" s="4" t="s">
        <v>1433</v>
      </c>
      <c r="B541" s="5" t="s">
        <v>1434</v>
      </c>
      <c r="C541" s="5" t="s">
        <v>34</v>
      </c>
      <c r="D541" s="5" t="s">
        <v>35</v>
      </c>
      <c r="E541" s="5" t="s">
        <v>30</v>
      </c>
      <c r="F541" s="9">
        <v>13</v>
      </c>
      <c r="G541" s="9">
        <v>149</v>
      </c>
      <c r="H541" s="5" t="s">
        <v>20</v>
      </c>
      <c r="I541" s="5" t="s">
        <v>1435</v>
      </c>
      <c r="J541" s="12" t="str">
        <f>HYPERLINK("https://www.boe.es/gazeta/dias/1807/02/06/pdfs/GMD-1807-13.pdf#page=9","Abrir facsímil")</f>
        <v>Abrir facsímil</v>
      </c>
      <c r="K541" s="15" t="s">
        <v>22</v>
      </c>
    </row>
    <row r="542" spans="1:11" ht="42" customHeight="1">
      <c r="A542" s="4" t="s">
        <v>1436</v>
      </c>
      <c r="B542" s="5" t="s">
        <v>1437</v>
      </c>
      <c r="C542" s="5" t="s">
        <v>34</v>
      </c>
      <c r="D542" s="5" t="s">
        <v>35</v>
      </c>
      <c r="E542" s="5" t="s">
        <v>127</v>
      </c>
      <c r="F542" s="9">
        <v>81</v>
      </c>
      <c r="G542" s="9">
        <v>946</v>
      </c>
      <c r="H542" s="5" t="s">
        <v>20</v>
      </c>
      <c r="I542" s="5" t="s">
        <v>1438</v>
      </c>
      <c r="J542" s="12" t="str">
        <f>HYPERLINK("https://www.boe.es/gazeta/dias/1807/09/11/pdfs/GMD-1807-81.pdf#page=10","Abrir facsímil")</f>
        <v>Abrir facsímil</v>
      </c>
      <c r="K542" s="15" t="s">
        <v>22</v>
      </c>
    </row>
    <row r="543" spans="1:11" ht="42" customHeight="1">
      <c r="A543" s="4" t="s">
        <v>1439</v>
      </c>
      <c r="B543" s="5" t="s">
        <v>1439</v>
      </c>
      <c r="C543" s="5" t="s">
        <v>34</v>
      </c>
      <c r="D543" s="5" t="s">
        <v>35</v>
      </c>
      <c r="E543" s="5" t="s">
        <v>282</v>
      </c>
      <c r="F543" s="9">
        <v>16</v>
      </c>
      <c r="G543" s="9">
        <v>180</v>
      </c>
      <c r="H543" s="5" t="s">
        <v>20</v>
      </c>
      <c r="I543" s="5" t="s">
        <v>1440</v>
      </c>
      <c r="J543" s="12" t="str">
        <f>HYPERLINK("https://www.boe.es/gazeta/dias/1807/02/17/pdfs/GMD-1807-16.pdf#page=4","Abrir facsímil")</f>
        <v>Abrir facsímil</v>
      </c>
      <c r="K543" s="15" t="s">
        <v>22</v>
      </c>
    </row>
    <row r="544" spans="1:11" ht="42" customHeight="1">
      <c r="A544" s="4" t="s">
        <v>1441</v>
      </c>
      <c r="B544" s="5" t="s">
        <v>1441</v>
      </c>
      <c r="C544" s="5" t="s">
        <v>34</v>
      </c>
      <c r="D544" s="5" t="s">
        <v>35</v>
      </c>
      <c r="E544" s="5" t="s">
        <v>79</v>
      </c>
      <c r="F544" s="9">
        <v>11</v>
      </c>
      <c r="G544" s="9">
        <v>117</v>
      </c>
      <c r="H544" s="5" t="s">
        <v>20</v>
      </c>
      <c r="I544" s="5" t="s">
        <v>1442</v>
      </c>
      <c r="J544" s="12" t="str">
        <f>HYPERLINK("https://www.boe.es/gazeta/dias/1807/01/30/pdfs/GMD-1807-11.pdf#page=1","Abrir facsímil")</f>
        <v>Abrir facsímil</v>
      </c>
      <c r="K544" s="15" t="s">
        <v>22</v>
      </c>
    </row>
    <row r="545" spans="1:11" ht="42" customHeight="1">
      <c r="A545" s="4" t="s">
        <v>1441</v>
      </c>
      <c r="B545" s="5" t="s">
        <v>1441</v>
      </c>
      <c r="C545" s="5" t="s">
        <v>49</v>
      </c>
      <c r="D545" s="5" t="s">
        <v>50</v>
      </c>
      <c r="E545" s="5" t="s">
        <v>79</v>
      </c>
      <c r="F545" s="9">
        <v>11</v>
      </c>
      <c r="G545" s="9">
        <v>118</v>
      </c>
      <c r="H545" s="5" t="s">
        <v>20</v>
      </c>
      <c r="I545" s="5" t="s">
        <v>1443</v>
      </c>
      <c r="J545" s="12" t="str">
        <f>HYPERLINK("https://www.boe.es/gazeta/dias/1807/01/30/pdfs/GMD-1807-11.pdf#page=2","Abrir facsímil")</f>
        <v>Abrir facsímil</v>
      </c>
      <c r="K545" s="15" t="s">
        <v>22</v>
      </c>
    </row>
    <row r="546" spans="1:11" ht="42" customHeight="1">
      <c r="A546" s="4" t="s">
        <v>1441</v>
      </c>
      <c r="B546" s="5" t="s">
        <v>1441</v>
      </c>
      <c r="C546" s="5" t="s">
        <v>24</v>
      </c>
      <c r="D546" s="5" t="s">
        <v>18</v>
      </c>
      <c r="E546" s="5" t="s">
        <v>86</v>
      </c>
      <c r="F546" s="9">
        <v>12</v>
      </c>
      <c r="G546" s="9">
        <v>132</v>
      </c>
      <c r="H546" s="5" t="s">
        <v>20</v>
      </c>
      <c r="I546" s="5" t="s">
        <v>1444</v>
      </c>
      <c r="J546" s="12" t="str">
        <f>HYPERLINK("https://www.boe.es/gazeta/dias/1807/02/03/pdfs/GMD-1807-12.pdf#page=4","Abrir facsímil")</f>
        <v>Abrir facsímil</v>
      </c>
      <c r="K546" s="15" t="s">
        <v>22</v>
      </c>
    </row>
    <row r="547" spans="1:11" ht="42" customHeight="1">
      <c r="A547" s="4" t="s">
        <v>1441</v>
      </c>
      <c r="B547" s="5" t="s">
        <v>1441</v>
      </c>
      <c r="C547" s="5" t="s">
        <v>28</v>
      </c>
      <c r="D547" s="5" t="s">
        <v>29</v>
      </c>
      <c r="E547" s="5" t="s">
        <v>282</v>
      </c>
      <c r="F547" s="9">
        <v>16</v>
      </c>
      <c r="G547" s="9">
        <v>180</v>
      </c>
      <c r="H547" s="5" t="s">
        <v>20</v>
      </c>
      <c r="I547" s="5" t="s">
        <v>1445</v>
      </c>
      <c r="J547" s="12" t="str">
        <f>HYPERLINK("https://www.boe.es/gazeta/dias/1807/02/17/pdfs/GMD-1807-16.pdf#page=4","Abrir facsímil")</f>
        <v>Abrir facsímil</v>
      </c>
      <c r="K547" s="15" t="s">
        <v>22</v>
      </c>
    </row>
    <row r="548" spans="1:11" ht="42" customHeight="1">
      <c r="A548" s="4" t="s">
        <v>1441</v>
      </c>
      <c r="B548" s="5" t="s">
        <v>1441</v>
      </c>
      <c r="C548" s="5" t="s">
        <v>34</v>
      </c>
      <c r="D548" s="5" t="s">
        <v>35</v>
      </c>
      <c r="E548" s="5" t="s">
        <v>282</v>
      </c>
      <c r="F548" s="9">
        <v>16</v>
      </c>
      <c r="G548" s="9">
        <v>183</v>
      </c>
      <c r="H548" s="5" t="s">
        <v>20</v>
      </c>
      <c r="I548" s="5" t="s">
        <v>1446</v>
      </c>
      <c r="J548" s="12" t="str">
        <f>HYPERLINK("https://www.boe.es/gazeta/dias/1807/02/17/pdfs/GMD-1807-16.pdf#page=7","Abrir facsímil")</f>
        <v>Abrir facsímil</v>
      </c>
      <c r="K548" s="15" t="s">
        <v>22</v>
      </c>
    </row>
    <row r="549" spans="1:11" ht="42" customHeight="1">
      <c r="A549" s="4" t="s">
        <v>1441</v>
      </c>
      <c r="B549" s="5" t="s">
        <v>1441</v>
      </c>
      <c r="C549" s="5" t="s">
        <v>28</v>
      </c>
      <c r="D549" s="5" t="s">
        <v>29</v>
      </c>
      <c r="E549" s="5" t="s">
        <v>98</v>
      </c>
      <c r="F549" s="9">
        <v>34</v>
      </c>
      <c r="G549" s="9">
        <v>401</v>
      </c>
      <c r="H549" s="5" t="s">
        <v>20</v>
      </c>
      <c r="I549" s="5" t="s">
        <v>1447</v>
      </c>
      <c r="J549" s="12" t="str">
        <f>HYPERLINK("https://www.boe.es/gazeta/dias/1807/04/17/pdfs/GMD-1807-34.pdf#page=5","Abrir facsímil")</f>
        <v>Abrir facsímil</v>
      </c>
      <c r="K549" s="15" t="s">
        <v>22</v>
      </c>
    </row>
    <row r="550" spans="1:11" ht="42" customHeight="1">
      <c r="A550" s="4" t="s">
        <v>1441</v>
      </c>
      <c r="B550" s="5" t="s">
        <v>1441</v>
      </c>
      <c r="C550" s="5" t="s">
        <v>34</v>
      </c>
      <c r="D550" s="5" t="s">
        <v>35</v>
      </c>
      <c r="E550" s="5" t="s">
        <v>98</v>
      </c>
      <c r="F550" s="9">
        <v>34</v>
      </c>
      <c r="G550" s="9">
        <v>402</v>
      </c>
      <c r="H550" s="5" t="s">
        <v>20</v>
      </c>
      <c r="I550" s="5" t="s">
        <v>1448</v>
      </c>
      <c r="J550" s="12" t="str">
        <f>HYPERLINK("https://www.boe.es/gazeta/dias/1807/04/17/pdfs/GMD-1807-34.pdf#page=6","Abrir facsímil")</f>
        <v>Abrir facsímil</v>
      </c>
      <c r="K550" s="15" t="s">
        <v>22</v>
      </c>
    </row>
    <row r="551" spans="1:11" ht="42" customHeight="1">
      <c r="A551" s="4" t="s">
        <v>1441</v>
      </c>
      <c r="B551" s="5" t="s">
        <v>1441</v>
      </c>
      <c r="C551" s="5" t="s">
        <v>49</v>
      </c>
      <c r="D551" s="5" t="s">
        <v>50</v>
      </c>
      <c r="E551" s="5" t="s">
        <v>19</v>
      </c>
      <c r="F551" s="9">
        <v>41</v>
      </c>
      <c r="G551" s="9">
        <v>485</v>
      </c>
      <c r="H551" s="5" t="s">
        <v>20</v>
      </c>
      <c r="I551" s="5" t="s">
        <v>1449</v>
      </c>
      <c r="J551" s="12" t="str">
        <f>HYPERLINK("https://www.boe.es/gazeta/dias/1807/05/12/pdfs/GMD-1807-41.pdf#page=3","Abrir facsímil")</f>
        <v>Abrir facsímil</v>
      </c>
      <c r="K551" s="15" t="s">
        <v>22</v>
      </c>
    </row>
    <row r="552" spans="1:11" ht="42" customHeight="1">
      <c r="A552" s="4" t="s">
        <v>1441</v>
      </c>
      <c r="B552" s="5" t="s">
        <v>1441</v>
      </c>
      <c r="C552" s="5" t="s">
        <v>34</v>
      </c>
      <c r="D552" s="5" t="s">
        <v>35</v>
      </c>
      <c r="E552" s="5" t="s">
        <v>505</v>
      </c>
      <c r="F552" s="9">
        <v>47</v>
      </c>
      <c r="G552" s="9">
        <v>558</v>
      </c>
      <c r="H552" s="5" t="s">
        <v>20</v>
      </c>
      <c r="I552" s="5" t="s">
        <v>1450</v>
      </c>
      <c r="J552" s="12" t="str">
        <f>HYPERLINK("https://www.boe.es/gazeta/dias/1807/06/02/pdfs/GMD-1807-47.pdf#page=4","Abrir facsímil")</f>
        <v>Abrir facsímil</v>
      </c>
      <c r="K552" s="15" t="s">
        <v>22</v>
      </c>
    </row>
    <row r="553" spans="1:11" ht="42" customHeight="1">
      <c r="A553" s="4" t="s">
        <v>1441</v>
      </c>
      <c r="B553" s="5" t="s">
        <v>1441</v>
      </c>
      <c r="C553" s="5" t="s">
        <v>49</v>
      </c>
      <c r="D553" s="5" t="s">
        <v>50</v>
      </c>
      <c r="E553" s="5" t="s">
        <v>221</v>
      </c>
      <c r="F553" s="9">
        <v>73</v>
      </c>
      <c r="G553" s="9">
        <v>841</v>
      </c>
      <c r="H553" s="5" t="s">
        <v>20</v>
      </c>
      <c r="I553" s="5" t="s">
        <v>1451</v>
      </c>
      <c r="J553" s="12" t="str">
        <f>HYPERLINK("https://www.boe.es/gazeta/dias/1807/08/14/pdfs/GMD-1807-73.pdf#page=5","Abrir facsímil")</f>
        <v>Abrir facsímil</v>
      </c>
      <c r="K553" s="15" t="s">
        <v>22</v>
      </c>
    </row>
    <row r="554" spans="1:11" ht="42" customHeight="1">
      <c r="A554" s="4" t="s">
        <v>1441</v>
      </c>
      <c r="B554" s="5" t="s">
        <v>1441</v>
      </c>
      <c r="C554" s="5" t="s">
        <v>49</v>
      </c>
      <c r="D554" s="5" t="s">
        <v>50</v>
      </c>
      <c r="E554" s="5" t="s">
        <v>321</v>
      </c>
      <c r="F554" s="9">
        <v>75</v>
      </c>
      <c r="G554" s="9">
        <v>865</v>
      </c>
      <c r="H554" s="5" t="s">
        <v>20</v>
      </c>
      <c r="I554" s="5" t="s">
        <v>1452</v>
      </c>
      <c r="J554" s="12" t="str">
        <f>HYPERLINK("https://www.boe.es/gazeta/dias/1807/08/21/pdfs/GMD-1807-75.pdf#page=5","Abrir facsímil")</f>
        <v>Abrir facsímil</v>
      </c>
      <c r="K554" s="15" t="s">
        <v>22</v>
      </c>
    </row>
    <row r="555" spans="1:11" ht="42" customHeight="1">
      <c r="A555" s="4" t="s">
        <v>1441</v>
      </c>
      <c r="B555" s="5" t="s">
        <v>1441</v>
      </c>
      <c r="C555" s="5" t="s">
        <v>49</v>
      </c>
      <c r="D555" s="5" t="s">
        <v>50</v>
      </c>
      <c r="E555" s="5" t="s">
        <v>167</v>
      </c>
      <c r="F555" s="9">
        <v>77</v>
      </c>
      <c r="G555" s="9">
        <v>889</v>
      </c>
      <c r="H555" s="5" t="s">
        <v>20</v>
      </c>
      <c r="I555" s="5" t="s">
        <v>1453</v>
      </c>
      <c r="J555" s="12" t="str">
        <f>HYPERLINK("https://www.boe.es/gazeta/dias/1807/08/28/pdfs/GMD-1807-77.pdf#page=5","Abrir facsímil")</f>
        <v>Abrir facsímil</v>
      </c>
      <c r="K555" s="15" t="s">
        <v>22</v>
      </c>
    </row>
    <row r="556" spans="1:11" ht="42" customHeight="1">
      <c r="A556" s="4" t="s">
        <v>1441</v>
      </c>
      <c r="B556" s="5" t="s">
        <v>1441</v>
      </c>
      <c r="C556" s="5" t="s">
        <v>34</v>
      </c>
      <c r="D556" s="5" t="s">
        <v>35</v>
      </c>
      <c r="E556" s="5" t="s">
        <v>111</v>
      </c>
      <c r="F556" s="9">
        <v>90</v>
      </c>
      <c r="G556" s="9">
        <v>1037</v>
      </c>
      <c r="H556" s="5" t="s">
        <v>20</v>
      </c>
      <c r="I556" s="5" t="s">
        <v>1454</v>
      </c>
      <c r="J556" s="12" t="str">
        <f>HYPERLINK("https://www.boe.es/gazeta/dias/1807/10/06/pdfs/GMD-1807-90.pdf#page=5","Abrir facsímil")</f>
        <v>Abrir facsímil</v>
      </c>
      <c r="K556" s="15" t="s">
        <v>22</v>
      </c>
    </row>
    <row r="557" spans="1:11" ht="42" customHeight="1">
      <c r="A557" s="4" t="s">
        <v>1441</v>
      </c>
      <c r="B557" s="5" t="s">
        <v>1441</v>
      </c>
      <c r="C557" s="5" t="s">
        <v>49</v>
      </c>
      <c r="D557" s="5" t="s">
        <v>50</v>
      </c>
      <c r="E557" s="5" t="s">
        <v>245</v>
      </c>
      <c r="F557" s="9">
        <v>97</v>
      </c>
      <c r="G557" s="9">
        <v>1124</v>
      </c>
      <c r="H557" s="5" t="s">
        <v>20</v>
      </c>
      <c r="I557" s="5" t="s">
        <v>1455</v>
      </c>
      <c r="J557" s="12" t="str">
        <f>HYPERLINK("https://www.boe.es/gazeta/dias/1807/10/30/pdfs/GMD-1807-97.pdf#page=4","Abrir facsímil")</f>
        <v>Abrir facsímil</v>
      </c>
      <c r="K557" s="15" t="s">
        <v>22</v>
      </c>
    </row>
    <row r="558" spans="1:11" ht="42" customHeight="1">
      <c r="A558" s="4" t="s">
        <v>1441</v>
      </c>
      <c r="B558" s="5" t="s">
        <v>1441</v>
      </c>
      <c r="C558" s="5" t="s">
        <v>49</v>
      </c>
      <c r="D558" s="5" t="s">
        <v>50</v>
      </c>
      <c r="E558" s="5" t="s">
        <v>1456</v>
      </c>
      <c r="F558" s="9">
        <v>98</v>
      </c>
      <c r="G558" s="9">
        <v>1140</v>
      </c>
      <c r="H558" s="5" t="s">
        <v>20</v>
      </c>
      <c r="I558" s="5" t="s">
        <v>1457</v>
      </c>
      <c r="J558" s="12" t="str">
        <f>HYPERLINK("https://www.boe.es/gazeta/dias/1807/11/03/pdfs/GMD-1807-98.pdf#page=8","Abrir facsímil")</f>
        <v>Abrir facsímil</v>
      </c>
      <c r="K558" s="15" t="s">
        <v>22</v>
      </c>
    </row>
    <row r="559" spans="1:11" ht="42" customHeight="1">
      <c r="A559" s="4" t="s">
        <v>1441</v>
      </c>
      <c r="B559" s="5" t="s">
        <v>1441</v>
      </c>
      <c r="C559" s="5" t="s">
        <v>34</v>
      </c>
      <c r="D559" s="5" t="s">
        <v>35</v>
      </c>
      <c r="E559" s="5" t="s">
        <v>461</v>
      </c>
      <c r="F559" s="9">
        <v>99</v>
      </c>
      <c r="G559" s="9">
        <v>1149</v>
      </c>
      <c r="H559" s="5" t="s">
        <v>20</v>
      </c>
      <c r="I559" s="5" t="s">
        <v>1458</v>
      </c>
      <c r="J559" s="12" t="str">
        <f>HYPERLINK("https://www.boe.es/gazeta/dias/1807/11/06/pdfs/GMD-1807-99.pdf#page=5","Abrir facsímil")</f>
        <v>Abrir facsímil</v>
      </c>
      <c r="K559" s="15" t="s">
        <v>22</v>
      </c>
    </row>
    <row r="560" spans="1:11" ht="42" customHeight="1">
      <c r="A560" s="4" t="s">
        <v>1441</v>
      </c>
      <c r="B560" s="5" t="s">
        <v>1441</v>
      </c>
      <c r="C560" s="5" t="s">
        <v>34</v>
      </c>
      <c r="D560" s="5" t="s">
        <v>35</v>
      </c>
      <c r="E560" s="5" t="s">
        <v>1177</v>
      </c>
      <c r="F560" s="9">
        <v>101</v>
      </c>
      <c r="G560" s="9">
        <v>1175</v>
      </c>
      <c r="H560" s="5" t="s">
        <v>20</v>
      </c>
      <c r="I560" s="5" t="s">
        <v>1459</v>
      </c>
      <c r="J560" s="12" t="str">
        <f>HYPERLINK("https://www.boe.es/gazeta/dias/1807/11/13/pdfs/GMD-1807-101.pdf#page=7","Abrir facsímil")</f>
        <v>Abrir facsímil</v>
      </c>
      <c r="K560" s="15" t="s">
        <v>22</v>
      </c>
    </row>
    <row r="561" spans="1:11" ht="42" customHeight="1">
      <c r="A561" s="4" t="s">
        <v>1441</v>
      </c>
      <c r="B561" s="5" t="s">
        <v>1441</v>
      </c>
      <c r="C561" s="5" t="s">
        <v>49</v>
      </c>
      <c r="D561" s="5" t="s">
        <v>50</v>
      </c>
      <c r="E561" s="5" t="s">
        <v>296</v>
      </c>
      <c r="F561" s="9">
        <v>102</v>
      </c>
      <c r="G561" s="9">
        <v>1182</v>
      </c>
      <c r="H561" s="5" t="s">
        <v>20</v>
      </c>
      <c r="I561" s="5" t="s">
        <v>1460</v>
      </c>
      <c r="J561" s="12" t="str">
        <f>HYPERLINK("https://www.boe.es/gazeta/dias/1807/11/17/pdfs/GMD-1807-102.pdf#page=2","Abrir facsímil")</f>
        <v>Abrir facsímil</v>
      </c>
      <c r="K561" s="15" t="s">
        <v>22</v>
      </c>
    </row>
    <row r="562" spans="1:11" ht="42" customHeight="1">
      <c r="A562" s="4" t="s">
        <v>1461</v>
      </c>
      <c r="B562" s="5" t="s">
        <v>1461</v>
      </c>
      <c r="C562" s="5" t="s">
        <v>24</v>
      </c>
      <c r="D562" s="5" t="s">
        <v>18</v>
      </c>
      <c r="E562" s="5" t="s">
        <v>221</v>
      </c>
      <c r="F562" s="9">
        <v>73</v>
      </c>
      <c r="G562" s="9">
        <v>838</v>
      </c>
      <c r="H562" s="5" t="s">
        <v>20</v>
      </c>
      <c r="I562" s="5" t="s">
        <v>1462</v>
      </c>
      <c r="J562" s="12" t="str">
        <f>HYPERLINK("https://www.boe.es/gazeta/dias/1807/08/14/pdfs/GMD-1807-73.pdf#page=2","Abrir facsímil")</f>
        <v>Abrir facsímil</v>
      </c>
      <c r="K562" s="15" t="s">
        <v>22</v>
      </c>
    </row>
    <row r="563" spans="1:11" ht="42" customHeight="1">
      <c r="A563" s="4" t="s">
        <v>1463</v>
      </c>
      <c r="B563" s="5" t="s">
        <v>1464</v>
      </c>
      <c r="C563" s="5" t="s">
        <v>49</v>
      </c>
      <c r="D563" s="5" t="s">
        <v>50</v>
      </c>
      <c r="E563" s="5" t="s">
        <v>1456</v>
      </c>
      <c r="F563" s="9">
        <v>98</v>
      </c>
      <c r="G563" s="9">
        <v>1140</v>
      </c>
      <c r="H563" s="5" t="s">
        <v>20</v>
      </c>
      <c r="I563" s="5" t="s">
        <v>1465</v>
      </c>
      <c r="J563" s="12" t="str">
        <f>HYPERLINK("https://www.boe.es/gazeta/dias/1807/11/03/pdfs/GMD-1807-98.pdf#page=8","Abrir facsímil")</f>
        <v>Abrir facsímil</v>
      </c>
      <c r="K563" s="15" t="s">
        <v>22</v>
      </c>
    </row>
    <row r="564" spans="1:11" ht="42" customHeight="1">
      <c r="A564" s="4" t="s">
        <v>1466</v>
      </c>
      <c r="B564" s="5" t="s">
        <v>1467</v>
      </c>
      <c r="C564" s="5" t="s">
        <v>17</v>
      </c>
      <c r="D564" s="5" t="s">
        <v>18</v>
      </c>
      <c r="E564" s="5" t="s">
        <v>754</v>
      </c>
      <c r="F564" s="9">
        <v>103</v>
      </c>
      <c r="G564" s="9">
        <v>1201</v>
      </c>
      <c r="H564" s="5" t="s">
        <v>20</v>
      </c>
      <c r="I564" s="5" t="s">
        <v>1468</v>
      </c>
      <c r="J564" s="12" t="str">
        <f>HYPERLINK("https://www.boe.es/gazeta/dias/1807/11/20/pdfs/GMD-1807-103.pdf#page=9","Abrir facsímil")</f>
        <v>Abrir facsímil</v>
      </c>
      <c r="K564" s="15" t="s">
        <v>22</v>
      </c>
    </row>
    <row r="565" spans="1:11" ht="42" customHeight="1">
      <c r="A565" s="4" t="s">
        <v>1469</v>
      </c>
      <c r="B565" s="5" t="s">
        <v>1470</v>
      </c>
      <c r="C565" s="5" t="s">
        <v>17</v>
      </c>
      <c r="D565" s="5" t="s">
        <v>18</v>
      </c>
      <c r="E565" s="5" t="s">
        <v>305</v>
      </c>
      <c r="F565" s="9">
        <v>53</v>
      </c>
      <c r="G565" s="9">
        <v>637</v>
      </c>
      <c r="H565" s="5" t="s">
        <v>20</v>
      </c>
      <c r="I565" s="5" t="s">
        <v>1471</v>
      </c>
      <c r="J565" s="12" t="str">
        <f>HYPERLINK("https://www.boe.es/gazeta/dias/1807/06/23/pdfs/GMD-1807-53.pdf#page=11","Abrir facsímil")</f>
        <v>Abrir facsímil</v>
      </c>
      <c r="K565" s="15" t="s">
        <v>22</v>
      </c>
    </row>
    <row r="566" spans="1:11" ht="42" customHeight="1">
      <c r="A566" s="4" t="s">
        <v>1469</v>
      </c>
      <c r="B566" s="5" t="s">
        <v>1470</v>
      </c>
      <c r="C566" s="5" t="s">
        <v>24</v>
      </c>
      <c r="D566" s="5" t="s">
        <v>18</v>
      </c>
      <c r="E566" s="5" t="s">
        <v>620</v>
      </c>
      <c r="F566" s="9">
        <v>84</v>
      </c>
      <c r="G566" s="9">
        <v>983</v>
      </c>
      <c r="H566" s="5" t="s">
        <v>20</v>
      </c>
      <c r="I566" s="5" t="s">
        <v>1472</v>
      </c>
      <c r="J566" s="12" t="str">
        <f>HYPERLINK("https://www.boe.es/gazeta/dias/1807/09/22/pdfs/GMD-1807-84.pdf#page=11","Abrir facsímil")</f>
        <v>Abrir facsímil</v>
      </c>
      <c r="K566" s="15" t="s">
        <v>22</v>
      </c>
    </row>
    <row r="567" spans="1:11" ht="42" customHeight="1">
      <c r="A567" s="4" t="s">
        <v>1469</v>
      </c>
      <c r="B567" s="5" t="s">
        <v>1470</v>
      </c>
      <c r="C567" s="5" t="s">
        <v>24</v>
      </c>
      <c r="D567" s="5" t="s">
        <v>18</v>
      </c>
      <c r="E567" s="5" t="s">
        <v>1076</v>
      </c>
      <c r="F567" s="9">
        <v>96</v>
      </c>
      <c r="G567" s="9">
        <v>1118</v>
      </c>
      <c r="H567" s="5" t="s">
        <v>20</v>
      </c>
      <c r="I567" s="5" t="s">
        <v>1473</v>
      </c>
      <c r="J567" s="12" t="str">
        <f>HYPERLINK("https://www.boe.es/gazeta/dias/1807/10/27/pdfs/GMD-1807-96.pdf#page=10","Abrir facsímil")</f>
        <v>Abrir facsímil</v>
      </c>
      <c r="K567" s="15" t="s">
        <v>22</v>
      </c>
    </row>
    <row r="568" spans="1:11" ht="42" customHeight="1">
      <c r="A568" s="4" t="s">
        <v>1474</v>
      </c>
      <c r="B568" s="5" t="s">
        <v>1475</v>
      </c>
      <c r="C568" s="5" t="s">
        <v>28</v>
      </c>
      <c r="D568" s="5" t="s">
        <v>29</v>
      </c>
      <c r="E568" s="5" t="s">
        <v>40</v>
      </c>
      <c r="F568" s="9">
        <v>26</v>
      </c>
      <c r="G568" s="9">
        <v>316</v>
      </c>
      <c r="H568" s="5" t="s">
        <v>20</v>
      </c>
      <c r="I568" s="5" t="s">
        <v>1476</v>
      </c>
      <c r="J568" s="12" t="str">
        <f>HYPERLINK("https://www.boe.es/gazeta/dias/1807/03/20/pdfs/GMD-1807-26.pdf#page=12","Abrir facsímil")</f>
        <v>Abrir facsímil</v>
      </c>
      <c r="K568" s="15" t="s">
        <v>22</v>
      </c>
    </row>
    <row r="569" spans="1:11" ht="42" customHeight="1">
      <c r="A569" s="4" t="s">
        <v>1477</v>
      </c>
      <c r="B569" s="5" t="s">
        <v>1478</v>
      </c>
      <c r="C569" s="5" t="s">
        <v>34</v>
      </c>
      <c r="D569" s="5" t="s">
        <v>35</v>
      </c>
      <c r="E569" s="5" t="s">
        <v>83</v>
      </c>
      <c r="F569" s="9">
        <v>50</v>
      </c>
      <c r="G569" s="9">
        <v>595</v>
      </c>
      <c r="H569" s="5" t="s">
        <v>20</v>
      </c>
      <c r="I569" s="5" t="s">
        <v>1479</v>
      </c>
      <c r="J569" s="12" t="str">
        <f>HYPERLINK("https://www.boe.es/gazeta/dias/1807/06/12/pdfs/GMD-1807-50.pdf#page=9","Abrir facsímil")</f>
        <v>Abrir facsímil</v>
      </c>
      <c r="K569" s="15" t="s">
        <v>22</v>
      </c>
    </row>
    <row r="570" spans="1:11" ht="42" customHeight="1">
      <c r="A570" s="4" t="s">
        <v>1480</v>
      </c>
      <c r="B570" s="5" t="s">
        <v>1481</v>
      </c>
      <c r="C570" s="5" t="s">
        <v>34</v>
      </c>
      <c r="D570" s="5" t="s">
        <v>35</v>
      </c>
      <c r="E570" s="5" t="s">
        <v>471</v>
      </c>
      <c r="F570" s="9">
        <v>51</v>
      </c>
      <c r="G570" s="9">
        <v>606</v>
      </c>
      <c r="H570" s="5" t="s">
        <v>20</v>
      </c>
      <c r="I570" s="5" t="s">
        <v>1482</v>
      </c>
      <c r="J570" s="12" t="str">
        <f>HYPERLINK("https://www.boe.es/gazeta/dias/1807/06/16/pdfs/GMD-1807-51.pdf#page=8","Abrir facsímil")</f>
        <v>Abrir facsímil</v>
      </c>
      <c r="K570" s="15" t="s">
        <v>22</v>
      </c>
    </row>
    <row r="571" spans="1:11" ht="42" customHeight="1">
      <c r="A571" s="4" t="s">
        <v>1483</v>
      </c>
      <c r="B571" s="5" t="s">
        <v>1484</v>
      </c>
      <c r="C571" s="5" t="s">
        <v>69</v>
      </c>
      <c r="D571" s="5" t="s">
        <v>70</v>
      </c>
      <c r="E571" s="5" t="s">
        <v>71</v>
      </c>
      <c r="F571" s="9">
        <v>35</v>
      </c>
      <c r="G571" s="9" t="s">
        <v>1485</v>
      </c>
      <c r="H571" s="5" t="s">
        <v>20</v>
      </c>
      <c r="I571" s="5" t="s">
        <v>1486</v>
      </c>
      <c r="J571" s="12" t="str">
        <f>HYPERLINK("https://www.boe.es/gazeta/dias/1807/04/21/pdfs/C00001-00004.pdf#page=4","Abrir facsímil")</f>
        <v>Abrir facsímil</v>
      </c>
      <c r="K571" s="15" t="s">
        <v>22</v>
      </c>
    </row>
    <row r="572" spans="1:11" ht="42" customHeight="1">
      <c r="A572" s="4" t="s">
        <v>1487</v>
      </c>
      <c r="B572" s="5" t="s">
        <v>1488</v>
      </c>
      <c r="C572" s="5" t="s">
        <v>28</v>
      </c>
      <c r="D572" s="5" t="s">
        <v>29</v>
      </c>
      <c r="E572" s="5" t="s">
        <v>215</v>
      </c>
      <c r="F572" s="9">
        <v>5</v>
      </c>
      <c r="G572" s="9">
        <v>51</v>
      </c>
      <c r="H572" s="5" t="s">
        <v>20</v>
      </c>
      <c r="I572" s="5" t="s">
        <v>1489</v>
      </c>
      <c r="J572" s="12" t="str">
        <f>HYPERLINK("https://www.boe.es/gazeta/dias/1807/01/16/pdfs/GMD-1807-5.pdf#page=7","Abrir facsímil")</f>
        <v>Abrir facsímil</v>
      </c>
      <c r="K572" s="15" t="s">
        <v>22</v>
      </c>
    </row>
    <row r="573" spans="1:11" ht="42" customHeight="1">
      <c r="A573" s="4" t="s">
        <v>1490</v>
      </c>
      <c r="B573" s="5" t="s">
        <v>1491</v>
      </c>
      <c r="C573" s="5" t="s">
        <v>34</v>
      </c>
      <c r="D573" s="5" t="s">
        <v>35</v>
      </c>
      <c r="E573" s="5" t="s">
        <v>426</v>
      </c>
      <c r="F573" s="9">
        <v>93</v>
      </c>
      <c r="G573" s="9">
        <v>1080</v>
      </c>
      <c r="H573" s="5" t="s">
        <v>20</v>
      </c>
      <c r="I573" s="5" t="s">
        <v>1492</v>
      </c>
      <c r="J573" s="12" t="str">
        <f>HYPERLINK("https://www.boe.es/gazeta/dias/1807/10/16/pdfs/GMD-1807-93.pdf#page=8","Abrir facsímil")</f>
        <v>Abrir facsímil</v>
      </c>
      <c r="K573" s="15" t="s">
        <v>22</v>
      </c>
    </row>
    <row r="574" spans="1:11" ht="42" customHeight="1">
      <c r="A574" s="4" t="s">
        <v>1493</v>
      </c>
      <c r="B574" s="5" t="s">
        <v>1493</v>
      </c>
      <c r="C574" s="5" t="s">
        <v>24</v>
      </c>
      <c r="D574" s="5" t="s">
        <v>18</v>
      </c>
      <c r="E574" s="5" t="s">
        <v>139</v>
      </c>
      <c r="F574" s="9">
        <v>110</v>
      </c>
      <c r="G574" s="9">
        <v>1285</v>
      </c>
      <c r="H574" s="5" t="s">
        <v>20</v>
      </c>
      <c r="I574" s="5" t="s">
        <v>1494</v>
      </c>
      <c r="J574" s="12" t="str">
        <f>HYPERLINK("https://www.boe.es/gazeta/dias/1807/12/11/pdfs/GMD-1807-110.pdf#page=9","Abrir facsímil")</f>
        <v>Abrir facsímil</v>
      </c>
      <c r="K574" s="15" t="s">
        <v>22</v>
      </c>
    </row>
    <row r="575" spans="1:11" ht="42" customHeight="1">
      <c r="A575" s="4" t="s">
        <v>1495</v>
      </c>
      <c r="B575" s="5" t="s">
        <v>1496</v>
      </c>
      <c r="C575" s="5" t="s">
        <v>28</v>
      </c>
      <c r="D575" s="5" t="s">
        <v>29</v>
      </c>
      <c r="E575" s="5" t="s">
        <v>259</v>
      </c>
      <c r="F575" s="9">
        <v>3</v>
      </c>
      <c r="G575" s="9">
        <v>25</v>
      </c>
      <c r="H575" s="5" t="s">
        <v>20</v>
      </c>
      <c r="I575" s="5" t="s">
        <v>1497</v>
      </c>
      <c r="J575" s="12" t="str">
        <f>HYPERLINK("https://www.boe.es/gazeta/dias/1807/01/09/pdfs/GMD-1807-3.pdf#page=5","Abrir facsímil")</f>
        <v>Abrir facsímil</v>
      </c>
      <c r="K575" s="15" t="s">
        <v>22</v>
      </c>
    </row>
    <row r="576" spans="1:11" ht="42" customHeight="1">
      <c r="A576" s="4" t="s">
        <v>1498</v>
      </c>
      <c r="B576" s="5" t="s">
        <v>1498</v>
      </c>
      <c r="C576" s="5" t="s">
        <v>34</v>
      </c>
      <c r="D576" s="5" t="s">
        <v>35</v>
      </c>
      <c r="E576" s="5" t="s">
        <v>152</v>
      </c>
      <c r="F576" s="9">
        <v>61</v>
      </c>
      <c r="G576" s="9">
        <v>718</v>
      </c>
      <c r="H576" s="5" t="s">
        <v>20</v>
      </c>
      <c r="I576" s="5" t="s">
        <v>1499</v>
      </c>
      <c r="J576" s="12" t="str">
        <f>HYPERLINK("https://www.boe.es/gazeta/dias/1807/07/14/pdfs/GMD-1807-61.pdf#page=4","Abrir facsímil")</f>
        <v>Abrir facsímil</v>
      </c>
      <c r="K576" s="15" t="s">
        <v>22</v>
      </c>
    </row>
    <row r="577" spans="1:11" ht="42" customHeight="1">
      <c r="A577" s="4" t="s">
        <v>1500</v>
      </c>
      <c r="B577" s="5" t="s">
        <v>1500</v>
      </c>
      <c r="C577" s="5" t="s">
        <v>28</v>
      </c>
      <c r="D577" s="5" t="s">
        <v>29</v>
      </c>
      <c r="E577" s="5" t="s">
        <v>62</v>
      </c>
      <c r="F577" s="9">
        <v>68</v>
      </c>
      <c r="G577" s="9">
        <v>788</v>
      </c>
      <c r="H577" s="5" t="s">
        <v>20</v>
      </c>
      <c r="I577" s="5" t="s">
        <v>1501</v>
      </c>
      <c r="J577" s="12" t="str">
        <f>HYPERLINK("https://www.boe.es/gazeta/dias/1807/07/31/pdfs/GMD-1807-68.pdf#page=12","Abrir facsímil")</f>
        <v>Abrir facsímil</v>
      </c>
      <c r="K577" s="15" t="s">
        <v>22</v>
      </c>
    </row>
    <row r="578" spans="1:11" ht="42" customHeight="1">
      <c r="A578" s="4" t="s">
        <v>1502</v>
      </c>
      <c r="B578" s="5" t="s">
        <v>1503</v>
      </c>
      <c r="C578" s="5" t="s">
        <v>24</v>
      </c>
      <c r="D578" s="5" t="s">
        <v>18</v>
      </c>
      <c r="E578" s="5" t="s">
        <v>346</v>
      </c>
      <c r="F578" s="9">
        <v>21</v>
      </c>
      <c r="G578" s="9">
        <v>242</v>
      </c>
      <c r="H578" s="5" t="s">
        <v>20</v>
      </c>
      <c r="I578" s="5" t="s">
        <v>1504</v>
      </c>
      <c r="J578" s="12" t="str">
        <f>HYPERLINK("https://www.boe.es/gazeta/dias/1807/03/03/pdfs/GMD-1807-21.pdf#page=6","Abrir facsímil")</f>
        <v>Abrir facsímil</v>
      </c>
      <c r="K578" s="15" t="s">
        <v>22</v>
      </c>
    </row>
    <row r="579" spans="1:11" ht="42" customHeight="1">
      <c r="A579" s="4" t="s">
        <v>1505</v>
      </c>
      <c r="B579" s="5" t="s">
        <v>1505</v>
      </c>
      <c r="C579" s="5" t="s">
        <v>28</v>
      </c>
      <c r="D579" s="5" t="s">
        <v>29</v>
      </c>
      <c r="E579" s="5" t="s">
        <v>275</v>
      </c>
      <c r="F579" s="9">
        <v>104</v>
      </c>
      <c r="G579" s="9">
        <v>1212</v>
      </c>
      <c r="H579" s="5" t="s">
        <v>20</v>
      </c>
      <c r="I579" s="5" t="s">
        <v>1506</v>
      </c>
      <c r="J579" s="12" t="str">
        <f>HYPERLINK("https://www.boe.es/gazeta/dias/1807/11/24/pdfs/GMD-1807-104.pdf#page=8","Abrir facsímil")</f>
        <v>Abrir facsímil</v>
      </c>
      <c r="K579" s="15" t="s">
        <v>22</v>
      </c>
    </row>
    <row r="580" spans="1:11" ht="42" customHeight="1">
      <c r="A580" s="4" t="s">
        <v>1505</v>
      </c>
      <c r="B580" s="5" t="s">
        <v>1505</v>
      </c>
      <c r="C580" s="5" t="s">
        <v>34</v>
      </c>
      <c r="D580" s="5" t="s">
        <v>35</v>
      </c>
      <c r="E580" s="5" t="s">
        <v>327</v>
      </c>
      <c r="F580" s="9">
        <v>108</v>
      </c>
      <c r="G580" s="9">
        <v>1261</v>
      </c>
      <c r="H580" s="5" t="s">
        <v>20</v>
      </c>
      <c r="I580" s="5" t="s">
        <v>1507</v>
      </c>
      <c r="J580" s="12" t="str">
        <f>HYPERLINK("https://www.boe.es/gazeta/dias/1807/12/04/pdfs/GMD-1807-108.pdf#page=9","Abrir facsímil")</f>
        <v>Abrir facsímil</v>
      </c>
      <c r="K580" s="15" t="s">
        <v>22</v>
      </c>
    </row>
    <row r="581" spans="1:11" ht="42" customHeight="1">
      <c r="A581" s="4" t="s">
        <v>1508</v>
      </c>
      <c r="B581" s="5" t="s">
        <v>1509</v>
      </c>
      <c r="C581" s="5" t="s">
        <v>34</v>
      </c>
      <c r="D581" s="5" t="s">
        <v>35</v>
      </c>
      <c r="E581" s="5" t="s">
        <v>76</v>
      </c>
      <c r="F581" s="9">
        <v>7</v>
      </c>
      <c r="G581" s="9">
        <v>71</v>
      </c>
      <c r="H581" s="5" t="s">
        <v>20</v>
      </c>
      <c r="I581" s="5" t="s">
        <v>1510</v>
      </c>
      <c r="J581" s="12" t="str">
        <f>HYPERLINK("https://www.boe.es/gazeta/dias/1807/01/20/pdfs/GMD-1807-7.pdf#page=3","Abrir facsímil")</f>
        <v>Abrir facsímil</v>
      </c>
      <c r="K581" s="15" t="s">
        <v>22</v>
      </c>
    </row>
    <row r="582" spans="1:11" ht="42" customHeight="1">
      <c r="A582" s="4" t="s">
        <v>1508</v>
      </c>
      <c r="B582" s="5" t="s">
        <v>1509</v>
      </c>
      <c r="C582" s="5" t="s">
        <v>49</v>
      </c>
      <c r="D582" s="5" t="s">
        <v>50</v>
      </c>
      <c r="E582" s="5" t="s">
        <v>346</v>
      </c>
      <c r="F582" s="9">
        <v>21</v>
      </c>
      <c r="G582" s="9">
        <v>240</v>
      </c>
      <c r="H582" s="5" t="s">
        <v>20</v>
      </c>
      <c r="I582" s="5" t="s">
        <v>1511</v>
      </c>
      <c r="J582" s="12" t="str">
        <f>HYPERLINK("https://www.boe.es/gazeta/dias/1807/03/03/pdfs/GMD-1807-21.pdf#page=4","Abrir facsímil")</f>
        <v>Abrir facsímil</v>
      </c>
      <c r="K582" s="15" t="s">
        <v>22</v>
      </c>
    </row>
    <row r="583" spans="1:11" ht="42" customHeight="1">
      <c r="A583" s="4" t="s">
        <v>1508</v>
      </c>
      <c r="B583" s="5" t="s">
        <v>1509</v>
      </c>
      <c r="C583" s="5" t="s">
        <v>49</v>
      </c>
      <c r="D583" s="5" t="s">
        <v>50</v>
      </c>
      <c r="E583" s="5" t="s">
        <v>167</v>
      </c>
      <c r="F583" s="9">
        <v>77</v>
      </c>
      <c r="G583" s="9">
        <v>887</v>
      </c>
      <c r="H583" s="5" t="s">
        <v>20</v>
      </c>
      <c r="I583" s="5" t="s">
        <v>1512</v>
      </c>
      <c r="J583" s="12" t="str">
        <f>HYPERLINK("https://www.boe.es/gazeta/dias/1807/08/28/pdfs/GMD-1807-77.pdf#page=3","Abrir facsímil")</f>
        <v>Abrir facsímil</v>
      </c>
      <c r="K583" s="15" t="s">
        <v>22</v>
      </c>
    </row>
    <row r="584" spans="1:11" ht="42" customHeight="1">
      <c r="A584" s="4" t="s">
        <v>1513</v>
      </c>
      <c r="B584" s="5" t="s">
        <v>1514</v>
      </c>
      <c r="C584" s="5" t="s">
        <v>49</v>
      </c>
      <c r="D584" s="5" t="s">
        <v>50</v>
      </c>
      <c r="E584" s="5" t="s">
        <v>270</v>
      </c>
      <c r="F584" s="9">
        <v>8</v>
      </c>
      <c r="G584" s="9">
        <v>86</v>
      </c>
      <c r="H584" s="5" t="s">
        <v>20</v>
      </c>
      <c r="I584" s="5" t="s">
        <v>1515</v>
      </c>
      <c r="J584" s="12" t="str">
        <f>HYPERLINK("https://www.boe.es/gazeta/dias/1807/01/23/pdfs/GMD-1807-8.pdf#page=2","Abrir facsímil")</f>
        <v>Abrir facsímil</v>
      </c>
      <c r="K584" s="15" t="s">
        <v>22</v>
      </c>
    </row>
    <row r="585" spans="1:11" ht="42" customHeight="1">
      <c r="A585" s="4" t="s">
        <v>1516</v>
      </c>
      <c r="B585" s="5" t="s">
        <v>1516</v>
      </c>
      <c r="C585" s="5" t="s">
        <v>89</v>
      </c>
      <c r="D585" s="5" t="s">
        <v>90</v>
      </c>
      <c r="E585" s="5" t="s">
        <v>86</v>
      </c>
      <c r="F585" s="9">
        <v>12</v>
      </c>
      <c r="G585" s="9">
        <v>140</v>
      </c>
      <c r="H585" s="5" t="s">
        <v>20</v>
      </c>
      <c r="I585" s="5" t="s">
        <v>1517</v>
      </c>
      <c r="J585" s="12" t="str">
        <f>HYPERLINK("https://www.boe.es/gazeta/dias/1807/02/03/pdfs/GMD-1807-12.pdf#page=12","Abrir facsímil")</f>
        <v>Abrir facsímil</v>
      </c>
      <c r="K585" s="15" t="s">
        <v>22</v>
      </c>
    </row>
    <row r="586" spans="1:11" ht="42" customHeight="1">
      <c r="A586" s="4" t="s">
        <v>1518</v>
      </c>
      <c r="B586" s="5" t="s">
        <v>1519</v>
      </c>
      <c r="C586" s="5" t="s">
        <v>49</v>
      </c>
      <c r="D586" s="5" t="s">
        <v>50</v>
      </c>
      <c r="E586" s="5" t="s">
        <v>361</v>
      </c>
      <c r="F586" s="9">
        <v>113</v>
      </c>
      <c r="G586" s="9">
        <v>1319</v>
      </c>
      <c r="H586" s="5" t="s">
        <v>20</v>
      </c>
      <c r="I586" s="5" t="s">
        <v>1520</v>
      </c>
      <c r="J586" s="12" t="str">
        <f>HYPERLINK("https://www.boe.es/gazeta/dias/1807/12/22/pdfs/GMD-1807-113.pdf#page=7","Abrir facsímil")</f>
        <v>Abrir facsímil</v>
      </c>
      <c r="K586" s="15" t="s">
        <v>22</v>
      </c>
    </row>
    <row r="587" spans="1:11" ht="42" customHeight="1">
      <c r="A587" s="4" t="s">
        <v>1521</v>
      </c>
      <c r="B587" s="5" t="s">
        <v>1522</v>
      </c>
      <c r="C587" s="5" t="s">
        <v>34</v>
      </c>
      <c r="D587" s="5" t="s">
        <v>35</v>
      </c>
      <c r="E587" s="5" t="s">
        <v>98</v>
      </c>
      <c r="F587" s="9">
        <v>34</v>
      </c>
      <c r="G587" s="9">
        <v>406</v>
      </c>
      <c r="H587" s="5" t="s">
        <v>20</v>
      </c>
      <c r="I587" s="5" t="s">
        <v>1523</v>
      </c>
      <c r="J587" s="12" t="str">
        <f>HYPERLINK("https://www.boe.es/gazeta/dias/1807/04/17/pdfs/GMD-1807-34.pdf#page=10","Abrir facsímil")</f>
        <v>Abrir facsímil</v>
      </c>
      <c r="K587" s="15" t="s">
        <v>22</v>
      </c>
    </row>
    <row r="588" spans="1:11" ht="42" customHeight="1">
      <c r="A588" s="4" t="s">
        <v>1524</v>
      </c>
      <c r="B588" s="5" t="s">
        <v>1524</v>
      </c>
      <c r="C588" s="5" t="s">
        <v>34</v>
      </c>
      <c r="D588" s="5" t="s">
        <v>35</v>
      </c>
      <c r="E588" s="5" t="s">
        <v>259</v>
      </c>
      <c r="F588" s="9">
        <v>3</v>
      </c>
      <c r="G588" s="9">
        <v>27</v>
      </c>
      <c r="H588" s="5" t="s">
        <v>20</v>
      </c>
      <c r="I588" s="5" t="s">
        <v>1525</v>
      </c>
      <c r="J588" s="12" t="str">
        <f>HYPERLINK("https://www.boe.es/gazeta/dias/1807/01/09/pdfs/GMD-1807-3.pdf#page=7","Abrir facsímil")</f>
        <v>Abrir facsímil</v>
      </c>
      <c r="K588" s="15" t="s">
        <v>22</v>
      </c>
    </row>
    <row r="589" spans="1:11" ht="42" customHeight="1">
      <c r="A589" s="4" t="s">
        <v>1526</v>
      </c>
      <c r="B589" s="5" t="s">
        <v>1527</v>
      </c>
      <c r="C589" s="5" t="s">
        <v>89</v>
      </c>
      <c r="D589" s="5" t="s">
        <v>90</v>
      </c>
      <c r="E589" s="5" t="s">
        <v>266</v>
      </c>
      <c r="F589" s="9">
        <v>67</v>
      </c>
      <c r="G589" s="9">
        <v>776</v>
      </c>
      <c r="H589" s="5" t="s">
        <v>20</v>
      </c>
      <c r="I589" s="5" t="s">
        <v>1528</v>
      </c>
      <c r="J589" s="12" t="str">
        <f>HYPERLINK("https://www.boe.es/gazeta/dias/1807/07/28/pdfs/GMD-1807-67.pdf#page=12","Abrir facsímil")</f>
        <v>Abrir facsímil</v>
      </c>
      <c r="K589" s="15" t="s">
        <v>22</v>
      </c>
    </row>
    <row r="590" spans="1:11" ht="42" customHeight="1">
      <c r="A590" s="4" t="s">
        <v>1529</v>
      </c>
      <c r="B590" s="5" t="s">
        <v>1530</v>
      </c>
      <c r="C590" s="5" t="s">
        <v>34</v>
      </c>
      <c r="D590" s="5" t="s">
        <v>35</v>
      </c>
      <c r="E590" s="5" t="s">
        <v>530</v>
      </c>
      <c r="F590" s="9">
        <v>79</v>
      </c>
      <c r="G590" s="9">
        <v>918</v>
      </c>
      <c r="H590" s="5" t="s">
        <v>20</v>
      </c>
      <c r="I590" s="5" t="s">
        <v>1531</v>
      </c>
      <c r="J590" s="12" t="str">
        <f>HYPERLINK("https://www.boe.es/gazeta/dias/1807/09/04/pdfs/GMD-1807-79.pdf#page=10","Abrir facsímil")</f>
        <v>Abrir facsímil</v>
      </c>
      <c r="K590" s="15" t="s">
        <v>22</v>
      </c>
    </row>
    <row r="591" spans="1:11" ht="42" customHeight="1">
      <c r="A591" s="4" t="s">
        <v>1532</v>
      </c>
      <c r="B591" s="5" t="s">
        <v>1533</v>
      </c>
      <c r="C591" s="5" t="s">
        <v>49</v>
      </c>
      <c r="D591" s="5" t="s">
        <v>50</v>
      </c>
      <c r="E591" s="5" t="s">
        <v>426</v>
      </c>
      <c r="F591" s="9">
        <v>93</v>
      </c>
      <c r="G591" s="9">
        <v>1074</v>
      </c>
      <c r="H591" s="5" t="s">
        <v>20</v>
      </c>
      <c r="I591" s="5" t="s">
        <v>1534</v>
      </c>
      <c r="J591" s="12" t="str">
        <f>HYPERLINK("https://www.boe.es/gazeta/dias/1807/10/16/pdfs/GMD-1807-93.pdf#page=2","Abrir facsímil")</f>
        <v>Abrir facsímil</v>
      </c>
      <c r="K591" s="15" t="s">
        <v>22</v>
      </c>
    </row>
    <row r="592" spans="1:11" ht="42" customHeight="1">
      <c r="A592" s="4" t="s">
        <v>1535</v>
      </c>
      <c r="B592" s="5" t="s">
        <v>1536</v>
      </c>
      <c r="C592" s="5" t="s">
        <v>28</v>
      </c>
      <c r="D592" s="5" t="s">
        <v>29</v>
      </c>
      <c r="E592" s="5" t="s">
        <v>305</v>
      </c>
      <c r="F592" s="9">
        <v>53</v>
      </c>
      <c r="G592" s="9">
        <v>636</v>
      </c>
      <c r="H592" s="5" t="s">
        <v>20</v>
      </c>
      <c r="I592" s="5" t="s">
        <v>1537</v>
      </c>
      <c r="J592" s="12" t="str">
        <f>HYPERLINK("https://www.boe.es/gazeta/dias/1807/06/23/pdfs/GMD-1807-53.pdf#page=10","Abrir facsímil")</f>
        <v>Abrir facsímil</v>
      </c>
      <c r="K592" s="15" t="s">
        <v>22</v>
      </c>
    </row>
    <row r="593" spans="1:11" ht="42" customHeight="1">
      <c r="A593" s="4" t="s">
        <v>1535</v>
      </c>
      <c r="B593" s="5" t="s">
        <v>1536</v>
      </c>
      <c r="C593" s="5" t="s">
        <v>24</v>
      </c>
      <c r="D593" s="5" t="s">
        <v>18</v>
      </c>
      <c r="E593" s="5" t="s">
        <v>530</v>
      </c>
      <c r="F593" s="9">
        <v>79</v>
      </c>
      <c r="G593" s="9">
        <v>923</v>
      </c>
      <c r="H593" s="5" t="s">
        <v>20</v>
      </c>
      <c r="I593" s="5" t="s">
        <v>1538</v>
      </c>
      <c r="J593" s="12" t="str">
        <f>HYPERLINK("https://www.boe.es/gazeta/dias/1807/09/04/pdfs/GMD-1807-79.pdf#page=15","Abrir facsímil")</f>
        <v>Abrir facsímil</v>
      </c>
      <c r="K593" s="15" t="s">
        <v>22</v>
      </c>
    </row>
    <row r="594" spans="1:11" ht="42" customHeight="1">
      <c r="A594" s="4" t="s">
        <v>1539</v>
      </c>
      <c r="B594" s="5" t="s">
        <v>1540</v>
      </c>
      <c r="C594" s="5" t="s">
        <v>34</v>
      </c>
      <c r="D594" s="5" t="s">
        <v>35</v>
      </c>
      <c r="E594" s="5" t="s">
        <v>79</v>
      </c>
      <c r="F594" s="9">
        <v>11</v>
      </c>
      <c r="G594" s="9">
        <v>126</v>
      </c>
      <c r="H594" s="5" t="s">
        <v>20</v>
      </c>
      <c r="I594" s="5" t="s">
        <v>1541</v>
      </c>
      <c r="J594" s="12" t="str">
        <f>HYPERLINK("https://www.boe.es/gazeta/dias/1807/01/30/pdfs/GMD-1807-11.pdf#page=10","Abrir facsímil")</f>
        <v>Abrir facsímil</v>
      </c>
      <c r="K594" s="15" t="s">
        <v>22</v>
      </c>
    </row>
    <row r="595" spans="1:11" ht="42" customHeight="1">
      <c r="A595" s="4" t="s">
        <v>1539</v>
      </c>
      <c r="B595" s="5" t="s">
        <v>1540</v>
      </c>
      <c r="C595" s="5" t="s">
        <v>24</v>
      </c>
      <c r="D595" s="5" t="s">
        <v>18</v>
      </c>
      <c r="E595" s="5" t="s">
        <v>25</v>
      </c>
      <c r="F595" s="9">
        <v>45</v>
      </c>
      <c r="G595" s="9">
        <v>540</v>
      </c>
      <c r="H595" s="5" t="s">
        <v>20</v>
      </c>
      <c r="I595" s="5" t="s">
        <v>1542</v>
      </c>
      <c r="J595" s="12" t="str">
        <f>HYPERLINK("https://www.boe.es/gazeta/dias/1807/05/26/pdfs/GMD-1807-45.pdf#page=10","Abrir facsímil")</f>
        <v>Abrir facsímil</v>
      </c>
      <c r="K595" s="15" t="s">
        <v>22</v>
      </c>
    </row>
    <row r="596" spans="1:11" ht="42" customHeight="1">
      <c r="A596" s="4" t="s">
        <v>1539</v>
      </c>
      <c r="B596" s="5" t="s">
        <v>1540</v>
      </c>
      <c r="C596" s="5" t="s">
        <v>34</v>
      </c>
      <c r="D596" s="5" t="s">
        <v>35</v>
      </c>
      <c r="E596" s="5" t="s">
        <v>406</v>
      </c>
      <c r="F596" s="9">
        <v>82</v>
      </c>
      <c r="G596" s="9">
        <v>956</v>
      </c>
      <c r="H596" s="5" t="s">
        <v>20</v>
      </c>
      <c r="I596" s="5" t="s">
        <v>1543</v>
      </c>
      <c r="J596" s="12" t="str">
        <f>HYPERLINK("https://www.boe.es/gazeta/dias/1807/09/15/pdfs/GMD-1807-82.pdf#page=8","Abrir facsímil")</f>
        <v>Abrir facsímil</v>
      </c>
      <c r="K596" s="15" t="s">
        <v>22</v>
      </c>
    </row>
    <row r="597" spans="1:11" ht="42" customHeight="1">
      <c r="A597" s="4" t="s">
        <v>1544</v>
      </c>
      <c r="B597" s="5" t="s">
        <v>1545</v>
      </c>
      <c r="C597" s="5" t="s">
        <v>28</v>
      </c>
      <c r="D597" s="5" t="s">
        <v>29</v>
      </c>
      <c r="E597" s="5" t="s">
        <v>219</v>
      </c>
      <c r="F597" s="9">
        <v>56</v>
      </c>
      <c r="G597" s="9">
        <v>674</v>
      </c>
      <c r="H597" s="5" t="s">
        <v>20</v>
      </c>
      <c r="I597" s="5" t="s">
        <v>1546</v>
      </c>
      <c r="J597" s="12" t="str">
        <f>HYPERLINK("https://www.boe.es/gazeta/dias/1807/07/03/pdfs/GMD-1807-56.pdf#page=12","Abrir facsímil")</f>
        <v>Abrir facsímil</v>
      </c>
      <c r="K597" s="15" t="s">
        <v>22</v>
      </c>
    </row>
    <row r="598" spans="1:11" ht="42" customHeight="1">
      <c r="A598" s="4" t="s">
        <v>1547</v>
      </c>
      <c r="B598" s="5" t="s">
        <v>1548</v>
      </c>
      <c r="C598" s="5" t="s">
        <v>34</v>
      </c>
      <c r="D598" s="5" t="s">
        <v>35</v>
      </c>
      <c r="E598" s="5" t="s">
        <v>390</v>
      </c>
      <c r="F598" s="9">
        <v>24</v>
      </c>
      <c r="G598" s="9">
        <v>288</v>
      </c>
      <c r="H598" s="5" t="s">
        <v>20</v>
      </c>
      <c r="I598" s="5" t="s">
        <v>1549</v>
      </c>
      <c r="J598" s="12" t="str">
        <f>HYPERLINK("https://www.boe.es/gazeta/dias/1807/03/13/pdfs/GMD-1807-24.pdf#page=12","Abrir facsímil")</f>
        <v>Abrir facsímil</v>
      </c>
      <c r="K598" s="15" t="s">
        <v>22</v>
      </c>
    </row>
    <row r="599" spans="1:11" ht="42" customHeight="1">
      <c r="A599" s="4" t="s">
        <v>1550</v>
      </c>
      <c r="B599" s="5" t="s">
        <v>1551</v>
      </c>
      <c r="C599" s="5" t="s">
        <v>34</v>
      </c>
      <c r="D599" s="5" t="s">
        <v>35</v>
      </c>
      <c r="E599" s="5" t="s">
        <v>464</v>
      </c>
      <c r="F599" s="9">
        <v>18</v>
      </c>
      <c r="G599" s="9">
        <v>212</v>
      </c>
      <c r="H599" s="5" t="s">
        <v>20</v>
      </c>
      <c r="I599" s="5" t="s">
        <v>1552</v>
      </c>
      <c r="J599" s="12" t="str">
        <f>HYPERLINK("https://www.boe.es/gazeta/dias/1807/02/24/pdfs/GMD-1807-18.pdf#page=12","Abrir facsímil")</f>
        <v>Abrir facsímil</v>
      </c>
      <c r="K599" s="15" t="s">
        <v>22</v>
      </c>
    </row>
    <row r="600" spans="1:11" ht="42" customHeight="1">
      <c r="A600" s="4" t="s">
        <v>1553</v>
      </c>
      <c r="B600" s="5" t="s">
        <v>1554</v>
      </c>
      <c r="C600" s="5" t="s">
        <v>28</v>
      </c>
      <c r="D600" s="5" t="s">
        <v>29</v>
      </c>
      <c r="E600" s="5" t="s">
        <v>156</v>
      </c>
      <c r="F600" s="9">
        <v>74</v>
      </c>
      <c r="G600" s="9">
        <v>855</v>
      </c>
      <c r="H600" s="5" t="s">
        <v>20</v>
      </c>
      <c r="I600" s="5" t="s">
        <v>1555</v>
      </c>
      <c r="J600" s="12" t="str">
        <f>HYPERLINK("https://www.boe.es/gazeta/dias/1807/08/18/pdfs/GMD-1807-74.pdf#page=7","Abrir facsímil")</f>
        <v>Abrir facsímil</v>
      </c>
      <c r="K600" s="15" t="s">
        <v>22</v>
      </c>
    </row>
    <row r="601" spans="1:11" ht="42" customHeight="1">
      <c r="A601" s="4" t="s">
        <v>1556</v>
      </c>
      <c r="B601" s="5" t="s">
        <v>1557</v>
      </c>
      <c r="C601" s="5" t="s">
        <v>69</v>
      </c>
      <c r="D601" s="5" t="s">
        <v>70</v>
      </c>
      <c r="E601" s="5" t="s">
        <v>71</v>
      </c>
      <c r="F601" s="9">
        <v>35</v>
      </c>
      <c r="G601" s="9" t="s">
        <v>197</v>
      </c>
      <c r="H601" s="5" t="s">
        <v>20</v>
      </c>
      <c r="I601" s="5" t="s">
        <v>1558</v>
      </c>
      <c r="J601" s="12" t="str">
        <f>HYPERLINK("https://www.boe.es/gazeta/dias/1807/04/21/pdfs/C00001-00004.pdf#page=3","Abrir facsímil")</f>
        <v>Abrir facsímil</v>
      </c>
      <c r="K601" s="15" t="s">
        <v>22</v>
      </c>
    </row>
    <row r="602" spans="1:11" ht="42" customHeight="1">
      <c r="A602" s="4" t="s">
        <v>1559</v>
      </c>
      <c r="B602" s="5" t="s">
        <v>1560</v>
      </c>
      <c r="C602" s="5" t="s">
        <v>28</v>
      </c>
      <c r="D602" s="5" t="s">
        <v>29</v>
      </c>
      <c r="E602" s="5" t="s">
        <v>40</v>
      </c>
      <c r="F602" s="9">
        <v>26</v>
      </c>
      <c r="G602" s="9">
        <v>313</v>
      </c>
      <c r="H602" s="5" t="s">
        <v>20</v>
      </c>
      <c r="I602" s="5" t="s">
        <v>1561</v>
      </c>
      <c r="J602" s="12" t="str">
        <f>HYPERLINK("https://www.boe.es/gazeta/dias/1807/03/20/pdfs/GMD-1807-26.pdf#page=9","Abrir facsímil")</f>
        <v>Abrir facsímil</v>
      </c>
      <c r="K602" s="15" t="s">
        <v>22</v>
      </c>
    </row>
    <row r="603" spans="1:11" ht="42" customHeight="1">
      <c r="A603" s="4" t="s">
        <v>1562</v>
      </c>
      <c r="B603" s="5" t="s">
        <v>1563</v>
      </c>
      <c r="C603" s="5" t="s">
        <v>24</v>
      </c>
      <c r="D603" s="5" t="s">
        <v>18</v>
      </c>
      <c r="E603" s="5" t="s">
        <v>390</v>
      </c>
      <c r="F603" s="9">
        <v>24</v>
      </c>
      <c r="G603" s="9">
        <v>285</v>
      </c>
      <c r="H603" s="5" t="s">
        <v>20</v>
      </c>
      <c r="I603" s="5" t="s">
        <v>1564</v>
      </c>
      <c r="J603" s="12" t="str">
        <f>HYPERLINK("https://www.boe.es/gazeta/dias/1807/03/13/pdfs/GMD-1807-24.pdf#page=9","Abrir facsímil")</f>
        <v>Abrir facsímil</v>
      </c>
      <c r="K603" s="15" t="s">
        <v>22</v>
      </c>
    </row>
    <row r="604" spans="1:11" ht="42" customHeight="1">
      <c r="A604" s="4" t="s">
        <v>1565</v>
      </c>
      <c r="B604" s="5" t="s">
        <v>1566</v>
      </c>
      <c r="C604" s="5" t="s">
        <v>34</v>
      </c>
      <c r="D604" s="5" t="s">
        <v>35</v>
      </c>
      <c r="E604" s="5" t="s">
        <v>259</v>
      </c>
      <c r="F604" s="9">
        <v>3</v>
      </c>
      <c r="G604" s="9">
        <v>27</v>
      </c>
      <c r="H604" s="5" t="s">
        <v>20</v>
      </c>
      <c r="I604" s="5" t="s">
        <v>1567</v>
      </c>
      <c r="J604" s="12" t="str">
        <f>HYPERLINK("https://www.boe.es/gazeta/dias/1807/01/09/pdfs/GMD-1807-3.pdf#page=7","Abrir facsímil")</f>
        <v>Abrir facsímil</v>
      </c>
      <c r="K604" s="15" t="s">
        <v>22</v>
      </c>
    </row>
    <row r="605" spans="1:11" ht="42" customHeight="1">
      <c r="A605" s="4" t="s">
        <v>1568</v>
      </c>
      <c r="B605" s="5" t="s">
        <v>1569</v>
      </c>
      <c r="C605" s="5" t="s">
        <v>34</v>
      </c>
      <c r="D605" s="5" t="s">
        <v>35</v>
      </c>
      <c r="E605" s="5" t="s">
        <v>376</v>
      </c>
      <c r="F605" s="9">
        <v>19</v>
      </c>
      <c r="G605" s="9">
        <v>225</v>
      </c>
      <c r="H605" s="5" t="s">
        <v>20</v>
      </c>
      <c r="I605" s="5" t="s">
        <v>1570</v>
      </c>
      <c r="J605" s="12" t="str">
        <f>HYPERLINK("https://www.boe.es/gazeta/dias/1807/02/27/pdfs/GMD-1807-19.pdf#page=9","Abrir facsímil")</f>
        <v>Abrir facsímil</v>
      </c>
      <c r="K605" s="15" t="s">
        <v>22</v>
      </c>
    </row>
    <row r="606" spans="1:11" ht="42" customHeight="1">
      <c r="A606" s="4" t="s">
        <v>1571</v>
      </c>
      <c r="B606" s="5" t="s">
        <v>1572</v>
      </c>
      <c r="C606" s="5" t="s">
        <v>34</v>
      </c>
      <c r="D606" s="5" t="s">
        <v>35</v>
      </c>
      <c r="E606" s="5" t="s">
        <v>208</v>
      </c>
      <c r="F606" s="9">
        <v>42</v>
      </c>
      <c r="G606" s="9">
        <v>501</v>
      </c>
      <c r="H606" s="5" t="s">
        <v>20</v>
      </c>
      <c r="I606" s="5" t="s">
        <v>1573</v>
      </c>
      <c r="J606" s="12" t="str">
        <f>HYPERLINK("https://www.boe.es/gazeta/dias/1807/05/15/pdfs/GMD-1807-42.pdf#page=7","Abrir facsímil")</f>
        <v>Abrir facsímil</v>
      </c>
      <c r="K606" s="15" t="s">
        <v>22</v>
      </c>
    </row>
    <row r="607" spans="1:11" ht="42" customHeight="1">
      <c r="A607" s="4" t="s">
        <v>1574</v>
      </c>
      <c r="B607" s="5" t="s">
        <v>1575</v>
      </c>
      <c r="C607" s="5" t="s">
        <v>34</v>
      </c>
      <c r="D607" s="5" t="s">
        <v>35</v>
      </c>
      <c r="E607" s="5" t="s">
        <v>36</v>
      </c>
      <c r="F607" s="9">
        <v>36</v>
      </c>
      <c r="G607" s="9">
        <v>430</v>
      </c>
      <c r="H607" s="5" t="s">
        <v>20</v>
      </c>
      <c r="I607" s="5" t="s">
        <v>1576</v>
      </c>
      <c r="J607" s="12" t="str">
        <f>HYPERLINK("https://www.boe.es/gazeta/dias/1807/04/24/pdfs/GMD-1807-36.pdf#page=10","Abrir facsímil")</f>
        <v>Abrir facsímil</v>
      </c>
      <c r="K607" s="15" t="s">
        <v>22</v>
      </c>
    </row>
    <row r="608" spans="1:11" ht="42" customHeight="1">
      <c r="A608" s="4" t="s">
        <v>1574</v>
      </c>
      <c r="B608" s="5" t="s">
        <v>1575</v>
      </c>
      <c r="C608" s="5" t="s">
        <v>34</v>
      </c>
      <c r="D608" s="5" t="s">
        <v>35</v>
      </c>
      <c r="E608" s="5" t="s">
        <v>53</v>
      </c>
      <c r="F608" s="9">
        <v>64</v>
      </c>
      <c r="G608" s="9">
        <v>747</v>
      </c>
      <c r="H608" s="5" t="s">
        <v>20</v>
      </c>
      <c r="I608" s="5" t="s">
        <v>1577</v>
      </c>
      <c r="J608" s="12" t="str">
        <f>HYPERLINK("https://www.boe.es/gazeta/dias/1807/07/21/pdfs/GMD-1807-64.pdf#page=9","Abrir facsímil")</f>
        <v>Abrir facsímil</v>
      </c>
      <c r="K608" s="15" t="s">
        <v>22</v>
      </c>
    </row>
    <row r="609" spans="1:11" ht="42" customHeight="1">
      <c r="A609" s="4" t="s">
        <v>1578</v>
      </c>
      <c r="B609" s="5" t="s">
        <v>1579</v>
      </c>
      <c r="C609" s="5" t="s">
        <v>28</v>
      </c>
      <c r="D609" s="5" t="s">
        <v>29</v>
      </c>
      <c r="E609" s="5" t="s">
        <v>91</v>
      </c>
      <c r="F609" s="9">
        <v>109</v>
      </c>
      <c r="G609" s="9">
        <v>1273</v>
      </c>
      <c r="H609" s="5" t="s">
        <v>20</v>
      </c>
      <c r="I609" s="5" t="s">
        <v>1580</v>
      </c>
      <c r="J609" s="12" t="str">
        <f>HYPERLINK("https://www.boe.es/gazeta/dias/1807/12/08/pdfs/GMD-1807-109.pdf#page=9","Abrir facsímil")</f>
        <v>Abrir facsímil</v>
      </c>
      <c r="K609" s="15" t="s">
        <v>22</v>
      </c>
    </row>
    <row r="610" spans="1:11" ht="42" customHeight="1">
      <c r="A610" s="4" t="s">
        <v>1581</v>
      </c>
      <c r="B610" s="5" t="s">
        <v>1582</v>
      </c>
      <c r="C610" s="5" t="s">
        <v>34</v>
      </c>
      <c r="D610" s="5" t="s">
        <v>35</v>
      </c>
      <c r="E610" s="5" t="s">
        <v>190</v>
      </c>
      <c r="F610" s="9">
        <v>37</v>
      </c>
      <c r="G610" s="9">
        <v>440</v>
      </c>
      <c r="H610" s="5" t="s">
        <v>20</v>
      </c>
      <c r="I610" s="5" t="s">
        <v>1583</v>
      </c>
      <c r="J610" s="12" t="str">
        <f>HYPERLINK("https://www.boe.es/gazeta/dias/1807/04/28/pdfs/GMD-1807-37.pdf#page=8","Abrir facsímil")</f>
        <v>Abrir facsímil</v>
      </c>
      <c r="K610" s="15" t="s">
        <v>22</v>
      </c>
    </row>
    <row r="611" spans="1:11" ht="42" customHeight="1">
      <c r="A611" s="4" t="s">
        <v>1584</v>
      </c>
      <c r="B611" s="5" t="s">
        <v>1584</v>
      </c>
      <c r="C611" s="5" t="s">
        <v>34</v>
      </c>
      <c r="D611" s="5" t="s">
        <v>35</v>
      </c>
      <c r="E611" s="5" t="s">
        <v>139</v>
      </c>
      <c r="F611" s="9">
        <v>110</v>
      </c>
      <c r="G611" s="9">
        <v>1284</v>
      </c>
      <c r="H611" s="5" t="s">
        <v>20</v>
      </c>
      <c r="I611" s="5" t="s">
        <v>1585</v>
      </c>
      <c r="J611" s="12" t="str">
        <f>HYPERLINK("https://www.boe.es/gazeta/dias/1807/12/11/pdfs/GMD-1807-110.pdf#page=8","Abrir facsímil")</f>
        <v>Abrir facsímil</v>
      </c>
      <c r="K611" s="15" t="s">
        <v>22</v>
      </c>
    </row>
    <row r="612" spans="1:11" ht="42" customHeight="1">
      <c r="A612" s="4" t="s">
        <v>1586</v>
      </c>
      <c r="B612" s="5" t="s">
        <v>1587</v>
      </c>
      <c r="C612" s="5" t="s">
        <v>28</v>
      </c>
      <c r="D612" s="5" t="s">
        <v>29</v>
      </c>
      <c r="E612" s="5" t="s">
        <v>149</v>
      </c>
      <c r="F612" s="9">
        <v>38</v>
      </c>
      <c r="G612" s="9">
        <v>454</v>
      </c>
      <c r="H612" s="5" t="s">
        <v>20</v>
      </c>
      <c r="I612" s="5" t="s">
        <v>1588</v>
      </c>
      <c r="J612" s="12" t="str">
        <f>HYPERLINK("https://www.boe.es/gazeta/dias/1807/05/01/pdfs/GMD-1807-38.pdf#page=10","Abrir facsímil")</f>
        <v>Abrir facsímil</v>
      </c>
      <c r="K612" s="15" t="s">
        <v>22</v>
      </c>
    </row>
    <row r="613" spans="1:11" ht="42" customHeight="1">
      <c r="A613" s="4" t="s">
        <v>1589</v>
      </c>
      <c r="B613" s="5" t="s">
        <v>1590</v>
      </c>
      <c r="C613" s="5" t="s">
        <v>34</v>
      </c>
      <c r="D613" s="5" t="s">
        <v>35</v>
      </c>
      <c r="E613" s="5" t="s">
        <v>25</v>
      </c>
      <c r="F613" s="9">
        <v>45</v>
      </c>
      <c r="G613" s="9">
        <v>537</v>
      </c>
      <c r="H613" s="5" t="s">
        <v>20</v>
      </c>
      <c r="I613" s="5" t="s">
        <v>1591</v>
      </c>
      <c r="J613" s="12" t="str">
        <f>HYPERLINK("https://www.boe.es/gazeta/dias/1807/05/26/pdfs/GMD-1807-45.pdf#page=7","Abrir facsímil")</f>
        <v>Abrir facsímil</v>
      </c>
      <c r="K613" s="15" t="s">
        <v>22</v>
      </c>
    </row>
    <row r="614" spans="1:11" ht="42" customHeight="1">
      <c r="A614" s="4" t="s">
        <v>1592</v>
      </c>
      <c r="B614" s="5" t="s">
        <v>1593</v>
      </c>
      <c r="C614" s="5" t="s">
        <v>34</v>
      </c>
      <c r="D614" s="5" t="s">
        <v>35</v>
      </c>
      <c r="E614" s="5" t="s">
        <v>40</v>
      </c>
      <c r="F614" s="9">
        <v>26</v>
      </c>
      <c r="G614" s="9">
        <v>313</v>
      </c>
      <c r="H614" s="5" t="s">
        <v>20</v>
      </c>
      <c r="I614" s="5" t="s">
        <v>1594</v>
      </c>
      <c r="J614" s="12" t="str">
        <f>HYPERLINK("https://www.boe.es/gazeta/dias/1807/03/20/pdfs/GMD-1807-26.pdf#page=9","Abrir facsímil")</f>
        <v>Abrir facsímil</v>
      </c>
      <c r="K614" s="15" t="s">
        <v>22</v>
      </c>
    </row>
    <row r="615" spans="1:11" ht="42" customHeight="1">
      <c r="A615" s="4" t="s">
        <v>1595</v>
      </c>
      <c r="B615" s="5" t="s">
        <v>1596</v>
      </c>
      <c r="C615" s="5" t="s">
        <v>28</v>
      </c>
      <c r="D615" s="5" t="s">
        <v>29</v>
      </c>
      <c r="E615" s="5" t="s">
        <v>25</v>
      </c>
      <c r="F615" s="9">
        <v>45</v>
      </c>
      <c r="G615" s="9">
        <v>541</v>
      </c>
      <c r="H615" s="5" t="s">
        <v>20</v>
      </c>
      <c r="I615" s="5" t="s">
        <v>1597</v>
      </c>
      <c r="J615" s="12" t="str">
        <f>HYPERLINK("https://www.boe.es/gazeta/dias/1807/05/26/pdfs/GMD-1807-45.pdf#page=11","Abrir facsímil")</f>
        <v>Abrir facsímil</v>
      </c>
      <c r="K615" s="15" t="s">
        <v>22</v>
      </c>
    </row>
    <row r="616" spans="1:11" ht="42" customHeight="1">
      <c r="A616" s="4" t="s">
        <v>1598</v>
      </c>
      <c r="B616" s="5" t="s">
        <v>1599</v>
      </c>
      <c r="C616" s="5" t="s">
        <v>24</v>
      </c>
      <c r="D616" s="5" t="s">
        <v>18</v>
      </c>
      <c r="E616" s="5" t="s">
        <v>219</v>
      </c>
      <c r="F616" s="9">
        <v>56</v>
      </c>
      <c r="G616" s="9">
        <v>672</v>
      </c>
      <c r="H616" s="5" t="s">
        <v>20</v>
      </c>
      <c r="I616" s="5" t="s">
        <v>1600</v>
      </c>
      <c r="J616" s="12" t="str">
        <f>HYPERLINK("https://www.boe.es/gazeta/dias/1807/07/03/pdfs/GMD-1807-56.pdf#page=10","Abrir facsímil")</f>
        <v>Abrir facsímil</v>
      </c>
      <c r="K616" s="15" t="s">
        <v>22</v>
      </c>
    </row>
    <row r="617" spans="1:11" ht="42" customHeight="1">
      <c r="A617" s="4" t="s">
        <v>1601</v>
      </c>
      <c r="B617" s="5" t="s">
        <v>1602</v>
      </c>
      <c r="C617" s="5" t="s">
        <v>34</v>
      </c>
      <c r="D617" s="5" t="s">
        <v>35</v>
      </c>
      <c r="E617" s="5" t="s">
        <v>245</v>
      </c>
      <c r="F617" s="9">
        <v>97</v>
      </c>
      <c r="G617" s="9">
        <v>1128</v>
      </c>
      <c r="H617" s="5" t="s">
        <v>20</v>
      </c>
      <c r="I617" s="5" t="s">
        <v>1603</v>
      </c>
      <c r="J617" s="12" t="str">
        <f>HYPERLINK("https://www.boe.es/gazeta/dias/1807/10/30/pdfs/GMD-1807-97.pdf#page=8","Abrir facsímil")</f>
        <v>Abrir facsímil</v>
      </c>
      <c r="K617" s="15" t="s">
        <v>22</v>
      </c>
    </row>
    <row r="618" spans="1:11" ht="42" customHeight="1">
      <c r="A618" s="4" t="s">
        <v>1604</v>
      </c>
      <c r="B618" s="5" t="s">
        <v>1605</v>
      </c>
      <c r="C618" s="5" t="s">
        <v>34</v>
      </c>
      <c r="D618" s="5" t="s">
        <v>35</v>
      </c>
      <c r="E618" s="5" t="s">
        <v>581</v>
      </c>
      <c r="F618" s="9">
        <v>71</v>
      </c>
      <c r="G618" s="9">
        <v>815</v>
      </c>
      <c r="H618" s="5" t="s">
        <v>20</v>
      </c>
      <c r="I618" s="5" t="s">
        <v>1606</v>
      </c>
      <c r="J618" s="12" t="str">
        <f>HYPERLINK("https://www.boe.es/gazeta/dias/1807/08/07/pdfs/GMD-1807-71.pdf#page=7","Abrir facsímil")</f>
        <v>Abrir facsímil</v>
      </c>
      <c r="K618" s="15" t="s">
        <v>22</v>
      </c>
    </row>
    <row r="619" spans="1:11" ht="42" customHeight="1">
      <c r="A619" s="4" t="s">
        <v>1607</v>
      </c>
      <c r="B619" s="5" t="s">
        <v>1608</v>
      </c>
      <c r="C619" s="5" t="s">
        <v>34</v>
      </c>
      <c r="D619" s="5" t="s">
        <v>35</v>
      </c>
      <c r="E619" s="5" t="s">
        <v>98</v>
      </c>
      <c r="F619" s="9">
        <v>34</v>
      </c>
      <c r="G619" s="9">
        <v>405</v>
      </c>
      <c r="H619" s="5" t="s">
        <v>20</v>
      </c>
      <c r="I619" s="5" t="s">
        <v>1609</v>
      </c>
      <c r="J619" s="12" t="str">
        <f>HYPERLINK("https://www.boe.es/gazeta/dias/1807/04/17/pdfs/GMD-1807-34.pdf#page=9","Abrir facsímil")</f>
        <v>Abrir facsímil</v>
      </c>
      <c r="K619" s="15" t="s">
        <v>22</v>
      </c>
    </row>
    <row r="620" spans="1:11" ht="42" customHeight="1">
      <c r="A620" s="4" t="s">
        <v>1610</v>
      </c>
      <c r="B620" s="5" t="s">
        <v>1610</v>
      </c>
      <c r="C620" s="5" t="s">
        <v>24</v>
      </c>
      <c r="D620" s="5" t="s">
        <v>18</v>
      </c>
      <c r="E620" s="5" t="s">
        <v>426</v>
      </c>
      <c r="F620" s="9">
        <v>93</v>
      </c>
      <c r="G620" s="9">
        <v>1082</v>
      </c>
      <c r="H620" s="5" t="s">
        <v>20</v>
      </c>
      <c r="I620" s="5" t="s">
        <v>1611</v>
      </c>
      <c r="J620" s="12" t="str">
        <f>HYPERLINK("https://www.boe.es/gazeta/dias/1807/10/16/pdfs/GMD-1807-93.pdf#page=10","Abrir facsímil")</f>
        <v>Abrir facsímil</v>
      </c>
      <c r="K620" s="15" t="s">
        <v>22</v>
      </c>
    </row>
    <row r="621" spans="1:11" ht="42" customHeight="1">
      <c r="A621" s="4" t="s">
        <v>1612</v>
      </c>
      <c r="B621" s="5" t="s">
        <v>1612</v>
      </c>
      <c r="C621" s="5" t="s">
        <v>34</v>
      </c>
      <c r="D621" s="5" t="s">
        <v>35</v>
      </c>
      <c r="E621" s="5" t="s">
        <v>149</v>
      </c>
      <c r="F621" s="9">
        <v>38</v>
      </c>
      <c r="G621" s="9">
        <v>454</v>
      </c>
      <c r="H621" s="5" t="s">
        <v>20</v>
      </c>
      <c r="I621" s="5" t="s">
        <v>1613</v>
      </c>
      <c r="J621" s="12" t="str">
        <f>HYPERLINK("https://www.boe.es/gazeta/dias/1807/05/01/pdfs/GMD-1807-38.pdf#page=10","Abrir facsímil")</f>
        <v>Abrir facsímil</v>
      </c>
      <c r="K621" s="15" t="s">
        <v>22</v>
      </c>
    </row>
    <row r="622" spans="1:11" ht="42" customHeight="1">
      <c r="A622" s="4" t="s">
        <v>1612</v>
      </c>
      <c r="B622" s="5" t="s">
        <v>1612</v>
      </c>
      <c r="C622" s="5" t="s">
        <v>34</v>
      </c>
      <c r="D622" s="5" t="s">
        <v>35</v>
      </c>
      <c r="E622" s="5" t="s">
        <v>321</v>
      </c>
      <c r="F622" s="9">
        <v>75</v>
      </c>
      <c r="G622" s="9">
        <v>871</v>
      </c>
      <c r="H622" s="5" t="s">
        <v>20</v>
      </c>
      <c r="I622" s="5" t="s">
        <v>1614</v>
      </c>
      <c r="J622" s="12" t="str">
        <f>HYPERLINK("https://www.boe.es/gazeta/dias/1807/08/21/pdfs/GMD-1807-75.pdf#page=11","Abrir facsímil")</f>
        <v>Abrir facsímil</v>
      </c>
      <c r="K622" s="15" t="s">
        <v>22</v>
      </c>
    </row>
    <row r="623" spans="1:11" ht="42" customHeight="1">
      <c r="A623" s="4" t="s">
        <v>1612</v>
      </c>
      <c r="B623" s="5" t="s">
        <v>1612</v>
      </c>
      <c r="C623" s="5" t="s">
        <v>34</v>
      </c>
      <c r="D623" s="5" t="s">
        <v>35</v>
      </c>
      <c r="E623" s="5" t="s">
        <v>620</v>
      </c>
      <c r="F623" s="9">
        <v>84</v>
      </c>
      <c r="G623" s="9">
        <v>983</v>
      </c>
      <c r="H623" s="5" t="s">
        <v>20</v>
      </c>
      <c r="I623" s="5" t="s">
        <v>1615</v>
      </c>
      <c r="J623" s="12" t="str">
        <f>HYPERLINK("https://www.boe.es/gazeta/dias/1807/09/22/pdfs/GMD-1807-84.pdf#page=11","Abrir facsímil")</f>
        <v>Abrir facsímil</v>
      </c>
      <c r="K623" s="15" t="s">
        <v>22</v>
      </c>
    </row>
    <row r="624" spans="1:11" ht="42" customHeight="1">
      <c r="A624" s="4" t="s">
        <v>1612</v>
      </c>
      <c r="B624" s="5" t="s">
        <v>1612</v>
      </c>
      <c r="C624" s="5" t="s">
        <v>24</v>
      </c>
      <c r="D624" s="5" t="s">
        <v>18</v>
      </c>
      <c r="E624" s="5" t="s">
        <v>654</v>
      </c>
      <c r="F624" s="9">
        <v>94</v>
      </c>
      <c r="G624" s="9">
        <v>1094</v>
      </c>
      <c r="H624" s="5" t="s">
        <v>20</v>
      </c>
      <c r="I624" s="5" t="s">
        <v>1616</v>
      </c>
      <c r="J624" s="12" t="str">
        <f>HYPERLINK("https://www.boe.es/gazeta/dias/1807/10/20/pdfs/GMD-1807-94.pdf#page=10","Abrir facsímil")</f>
        <v>Abrir facsímil</v>
      </c>
      <c r="K624" s="15" t="s">
        <v>22</v>
      </c>
    </row>
    <row r="625" spans="1:11" ht="42" customHeight="1">
      <c r="A625" s="4" t="s">
        <v>1612</v>
      </c>
      <c r="B625" s="5" t="s">
        <v>1612</v>
      </c>
      <c r="C625" s="5" t="s">
        <v>24</v>
      </c>
      <c r="D625" s="5" t="s">
        <v>18</v>
      </c>
      <c r="E625" s="5" t="s">
        <v>1076</v>
      </c>
      <c r="F625" s="9">
        <v>96</v>
      </c>
      <c r="G625" s="9">
        <v>1119</v>
      </c>
      <c r="H625" s="5" t="s">
        <v>20</v>
      </c>
      <c r="I625" s="5" t="s">
        <v>1617</v>
      </c>
      <c r="J625" s="12" t="str">
        <f>HYPERLINK("https://www.boe.es/gazeta/dias/1807/10/27/pdfs/GMD-1807-96.pdf#page=11","Abrir facsímil")</f>
        <v>Abrir facsímil</v>
      </c>
      <c r="K625" s="15" t="s">
        <v>22</v>
      </c>
    </row>
    <row r="626" spans="1:11" ht="42" customHeight="1">
      <c r="A626" s="4" t="s">
        <v>1612</v>
      </c>
      <c r="B626" s="5" t="s">
        <v>1612</v>
      </c>
      <c r="C626" s="5" t="s">
        <v>34</v>
      </c>
      <c r="D626" s="5" t="s">
        <v>35</v>
      </c>
      <c r="E626" s="5" t="s">
        <v>245</v>
      </c>
      <c r="F626" s="9">
        <v>97</v>
      </c>
      <c r="G626" s="9">
        <v>1130</v>
      </c>
      <c r="H626" s="5" t="s">
        <v>20</v>
      </c>
      <c r="I626" s="5" t="s">
        <v>1618</v>
      </c>
      <c r="J626" s="12" t="str">
        <f>HYPERLINK("https://www.boe.es/gazeta/dias/1807/10/30/pdfs/GMD-1807-97.pdf#page=10","Abrir facsímil")</f>
        <v>Abrir facsímil</v>
      </c>
      <c r="K626" s="15" t="s">
        <v>22</v>
      </c>
    </row>
    <row r="627" spans="1:11" ht="42" customHeight="1">
      <c r="A627" s="4" t="s">
        <v>1619</v>
      </c>
      <c r="B627" s="5" t="s">
        <v>1619</v>
      </c>
      <c r="C627" s="5" t="s">
        <v>89</v>
      </c>
      <c r="D627" s="5" t="s">
        <v>90</v>
      </c>
      <c r="E627" s="5" t="s">
        <v>575</v>
      </c>
      <c r="F627" s="9">
        <v>115</v>
      </c>
      <c r="G627" s="9">
        <v>1340</v>
      </c>
      <c r="H627" s="5" t="s">
        <v>20</v>
      </c>
      <c r="I627" s="5" t="s">
        <v>1620</v>
      </c>
      <c r="J627" s="12" t="str">
        <f>HYPERLINK("https://www.boe.es/gazeta/dias/1807/12/29/pdfs/GMD-1807-115.pdf#page=8","Abrir facsímil")</f>
        <v>Abrir facsímil</v>
      </c>
      <c r="K627" s="15" t="s">
        <v>22</v>
      </c>
    </row>
    <row r="628" spans="1:11" ht="42" customHeight="1">
      <c r="A628" s="4" t="s">
        <v>1621</v>
      </c>
      <c r="B628" s="5" t="s">
        <v>1621</v>
      </c>
      <c r="C628" s="5" t="s">
        <v>28</v>
      </c>
      <c r="D628" s="5" t="s">
        <v>29</v>
      </c>
      <c r="E628" s="5" t="s">
        <v>208</v>
      </c>
      <c r="F628" s="9">
        <v>42</v>
      </c>
      <c r="G628" s="9">
        <v>505</v>
      </c>
      <c r="H628" s="5" t="s">
        <v>20</v>
      </c>
      <c r="I628" s="5" t="s">
        <v>1622</v>
      </c>
      <c r="J628" s="12" t="str">
        <f>HYPERLINK("https://www.boe.es/gazeta/dias/1807/05/15/pdfs/GMD-1807-42.pdf#page=11","Abrir facsímil")</f>
        <v>Abrir facsímil</v>
      </c>
      <c r="K628" s="15" t="s">
        <v>22</v>
      </c>
    </row>
    <row r="629" spans="1:11" ht="42" customHeight="1">
      <c r="A629" s="4" t="s">
        <v>1623</v>
      </c>
      <c r="B629" s="5" t="s">
        <v>1624</v>
      </c>
      <c r="C629" s="5" t="s">
        <v>28</v>
      </c>
      <c r="D629" s="5" t="s">
        <v>29</v>
      </c>
      <c r="E629" s="5" t="s">
        <v>104</v>
      </c>
      <c r="F629" s="9">
        <v>25</v>
      </c>
      <c r="G629" s="9">
        <v>302</v>
      </c>
      <c r="H629" s="5" t="s">
        <v>20</v>
      </c>
      <c r="I629" s="5" t="s">
        <v>1625</v>
      </c>
      <c r="J629" s="12" t="str">
        <f>HYPERLINK("https://www.boe.es/gazeta/dias/1807/03/17/pdfs/GMD-1807-25.pdf#page=10","Abrir facsímil")</f>
        <v>Abrir facsímil</v>
      </c>
      <c r="K629" s="15" t="s">
        <v>22</v>
      </c>
    </row>
    <row r="630" spans="1:11" ht="42" customHeight="1">
      <c r="A630" s="4" t="s">
        <v>1623</v>
      </c>
      <c r="B630" s="5" t="s">
        <v>1624</v>
      </c>
      <c r="C630" s="5" t="s">
        <v>28</v>
      </c>
      <c r="D630" s="5" t="s">
        <v>29</v>
      </c>
      <c r="E630" s="5" t="s">
        <v>754</v>
      </c>
      <c r="F630" s="9">
        <v>103</v>
      </c>
      <c r="G630" s="9">
        <v>1203</v>
      </c>
      <c r="H630" s="5" t="s">
        <v>20</v>
      </c>
      <c r="I630" s="5" t="s">
        <v>1626</v>
      </c>
      <c r="J630" s="12" t="str">
        <f>HYPERLINK("https://www.boe.es/gazeta/dias/1807/11/20/pdfs/GMD-1807-103.pdf#page=11","Abrir facsímil")</f>
        <v>Abrir facsímil</v>
      </c>
      <c r="K630" s="15" t="s">
        <v>22</v>
      </c>
    </row>
    <row r="631" spans="1:11" ht="42" customHeight="1">
      <c r="A631" s="4" t="s">
        <v>1627</v>
      </c>
      <c r="B631" s="5" t="s">
        <v>1628</v>
      </c>
      <c r="C631" s="5" t="s">
        <v>28</v>
      </c>
      <c r="D631" s="5" t="s">
        <v>29</v>
      </c>
      <c r="E631" s="5" t="s">
        <v>167</v>
      </c>
      <c r="F631" s="9">
        <v>77</v>
      </c>
      <c r="G631" s="9">
        <v>891</v>
      </c>
      <c r="H631" s="5" t="s">
        <v>20</v>
      </c>
      <c r="I631" s="5" t="s">
        <v>1629</v>
      </c>
      <c r="J631" s="12" t="str">
        <f>HYPERLINK("https://www.boe.es/gazeta/dias/1807/08/28/pdfs/GMD-1807-77.pdf#page=7","Abrir facsímil")</f>
        <v>Abrir facsímil</v>
      </c>
      <c r="K631" s="15" t="s">
        <v>22</v>
      </c>
    </row>
    <row r="632" spans="1:11" ht="42" customHeight="1">
      <c r="A632" s="4" t="s">
        <v>1630</v>
      </c>
      <c r="B632" s="5" t="s">
        <v>1630</v>
      </c>
      <c r="C632" s="5" t="s">
        <v>28</v>
      </c>
      <c r="D632" s="5" t="s">
        <v>29</v>
      </c>
      <c r="E632" s="5" t="s">
        <v>418</v>
      </c>
      <c r="F632" s="9">
        <v>4</v>
      </c>
      <c r="G632" s="9">
        <v>41</v>
      </c>
      <c r="H632" s="5" t="s">
        <v>20</v>
      </c>
      <c r="I632" s="5" t="s">
        <v>1631</v>
      </c>
      <c r="J632" s="12" t="str">
        <f>HYPERLINK("https://www.boe.es/gazeta/dias/1807/01/13/pdfs/GMD-1807-4.pdf#page=9","Abrir facsímil")</f>
        <v>Abrir facsímil</v>
      </c>
      <c r="K632" s="15" t="s">
        <v>22</v>
      </c>
    </row>
    <row r="633" spans="1:11" ht="42" customHeight="1">
      <c r="A633" s="4" t="s">
        <v>1632</v>
      </c>
      <c r="B633" s="5" t="s">
        <v>1633</v>
      </c>
      <c r="C633" s="5" t="s">
        <v>34</v>
      </c>
      <c r="D633" s="5" t="s">
        <v>35</v>
      </c>
      <c r="E633" s="5" t="s">
        <v>183</v>
      </c>
      <c r="F633" s="9">
        <v>1</v>
      </c>
      <c r="G633" s="9">
        <v>10</v>
      </c>
      <c r="H633" s="5" t="s">
        <v>20</v>
      </c>
      <c r="I633" s="5" t="s">
        <v>1634</v>
      </c>
      <c r="J633" s="12" t="str">
        <f>HYPERLINK("https://www.boe.es/gazeta/dias/1807/01/02/pdfs/GMD-1807-1.pdf#page=10","Abrir facsímil")</f>
        <v>Abrir facsímil</v>
      </c>
      <c r="K633" s="15" t="s">
        <v>22</v>
      </c>
    </row>
    <row r="634" spans="1:11" ht="42" customHeight="1">
      <c r="A634" s="4" t="s">
        <v>1635</v>
      </c>
      <c r="B634" s="5" t="s">
        <v>1636</v>
      </c>
      <c r="C634" s="5" t="s">
        <v>34</v>
      </c>
      <c r="D634" s="5" t="s">
        <v>35</v>
      </c>
      <c r="E634" s="5" t="s">
        <v>42</v>
      </c>
      <c r="F634" s="9">
        <v>31</v>
      </c>
      <c r="G634" s="9">
        <v>368</v>
      </c>
      <c r="H634" s="5" t="s">
        <v>20</v>
      </c>
      <c r="I634" s="5" t="s">
        <v>1637</v>
      </c>
      <c r="J634" s="12" t="str">
        <f>HYPERLINK("https://www.boe.es/gazeta/dias/1807/04/07/pdfs/GMD-1807-31.pdf#page=8","Abrir facsímil")</f>
        <v>Abrir facsímil</v>
      </c>
      <c r="K634" s="15" t="s">
        <v>22</v>
      </c>
    </row>
    <row r="635" spans="1:11" ht="42" customHeight="1">
      <c r="A635" s="4" t="s">
        <v>1638</v>
      </c>
      <c r="B635" s="5" t="s">
        <v>1639</v>
      </c>
      <c r="C635" s="5" t="s">
        <v>34</v>
      </c>
      <c r="D635" s="5" t="s">
        <v>35</v>
      </c>
      <c r="E635" s="5" t="s">
        <v>296</v>
      </c>
      <c r="F635" s="9">
        <v>102</v>
      </c>
      <c r="G635" s="9">
        <v>1189</v>
      </c>
      <c r="H635" s="5" t="s">
        <v>20</v>
      </c>
      <c r="I635" s="5" t="s">
        <v>1640</v>
      </c>
      <c r="J635" s="12" t="str">
        <f>HYPERLINK("https://www.boe.es/gazeta/dias/1807/11/17/pdfs/GMD-1807-102.pdf#page=9","Abrir facsímil")</f>
        <v>Abrir facsímil</v>
      </c>
      <c r="K635" s="15" t="s">
        <v>22</v>
      </c>
    </row>
    <row r="636" spans="1:11" ht="42" customHeight="1">
      <c r="A636" s="4" t="s">
        <v>1641</v>
      </c>
      <c r="B636" s="5" t="s">
        <v>1642</v>
      </c>
      <c r="C636" s="5" t="s">
        <v>34</v>
      </c>
      <c r="D636" s="5" t="s">
        <v>35</v>
      </c>
      <c r="E636" s="5" t="s">
        <v>215</v>
      </c>
      <c r="F636" s="9" t="s">
        <v>517</v>
      </c>
      <c r="G636" s="9">
        <v>61</v>
      </c>
      <c r="H636" s="5" t="s">
        <v>20</v>
      </c>
      <c r="I636" s="5" t="s">
        <v>1643</v>
      </c>
      <c r="J636" s="12" t="str">
        <f>HYPERLINK("https://www.boe.es/gazeta/dias/1807/01/16/pdfs/GMD-1807-6E.pdf#page=1","Abrir facsímil")</f>
        <v>Abrir facsímil</v>
      </c>
      <c r="K636" s="15" t="s">
        <v>22</v>
      </c>
    </row>
    <row r="637" spans="1:11" ht="42" customHeight="1">
      <c r="A637" s="4" t="s">
        <v>1644</v>
      </c>
      <c r="B637" s="5" t="s">
        <v>1645</v>
      </c>
      <c r="C637" s="5" t="s">
        <v>34</v>
      </c>
      <c r="D637" s="5" t="s">
        <v>35</v>
      </c>
      <c r="E637" s="5" t="s">
        <v>346</v>
      </c>
      <c r="F637" s="9">
        <v>21</v>
      </c>
      <c r="G637" s="9">
        <v>241</v>
      </c>
      <c r="H637" s="5" t="s">
        <v>20</v>
      </c>
      <c r="I637" s="5" t="s">
        <v>1646</v>
      </c>
      <c r="J637" s="12" t="str">
        <f>HYPERLINK("https://www.boe.es/gazeta/dias/1807/03/03/pdfs/GMD-1807-21.pdf#page=5","Abrir facsímil")</f>
        <v>Abrir facsímil</v>
      </c>
      <c r="K637" s="15" t="s">
        <v>22</v>
      </c>
    </row>
    <row r="638" spans="1:11" ht="42" customHeight="1">
      <c r="A638" s="4" t="s">
        <v>1647</v>
      </c>
      <c r="B638" s="5" t="s">
        <v>1648</v>
      </c>
      <c r="C638" s="5" t="s">
        <v>28</v>
      </c>
      <c r="D638" s="5" t="s">
        <v>29</v>
      </c>
      <c r="E638" s="5" t="s">
        <v>76</v>
      </c>
      <c r="F638" s="9">
        <v>7</v>
      </c>
      <c r="G638" s="9">
        <v>82</v>
      </c>
      <c r="H638" s="5" t="s">
        <v>20</v>
      </c>
      <c r="I638" s="5" t="s">
        <v>1649</v>
      </c>
      <c r="J638" s="12" t="str">
        <f>HYPERLINK("https://www.boe.es/gazeta/dias/1807/01/20/pdfs/GMD-1807-7.pdf#page=14","Abrir facsímil")</f>
        <v>Abrir facsímil</v>
      </c>
      <c r="K638" s="15" t="s">
        <v>22</v>
      </c>
    </row>
    <row r="639" spans="1:11" ht="42" customHeight="1">
      <c r="A639" s="4" t="s">
        <v>1650</v>
      </c>
      <c r="B639" s="5" t="s">
        <v>1651</v>
      </c>
      <c r="C639" s="5" t="s">
        <v>34</v>
      </c>
      <c r="D639" s="5" t="s">
        <v>35</v>
      </c>
      <c r="E639" s="5" t="s">
        <v>615</v>
      </c>
      <c r="F639" s="9" t="s">
        <v>616</v>
      </c>
      <c r="G639" s="9">
        <v>998</v>
      </c>
      <c r="H639" s="5" t="s">
        <v>20</v>
      </c>
      <c r="I639" s="5" t="s">
        <v>1652</v>
      </c>
      <c r="J639" s="12" t="str">
        <f>HYPERLINK("https://www.boe.es/gazeta/dias/1807/09/27/pdfs/GMD-1807-86E.pdf#page=2","Abrir facsímil")</f>
        <v>Abrir facsímil</v>
      </c>
      <c r="K639" s="15" t="s">
        <v>22</v>
      </c>
    </row>
    <row r="640" spans="1:11" ht="42" customHeight="1">
      <c r="A640" s="4" t="s">
        <v>1653</v>
      </c>
      <c r="B640" s="5" t="s">
        <v>1653</v>
      </c>
      <c r="C640" s="5" t="s">
        <v>89</v>
      </c>
      <c r="D640" s="5" t="s">
        <v>90</v>
      </c>
      <c r="E640" s="5" t="s">
        <v>94</v>
      </c>
      <c r="F640" s="9">
        <v>22</v>
      </c>
      <c r="G640" s="9">
        <v>260</v>
      </c>
      <c r="H640" s="5" t="s">
        <v>20</v>
      </c>
      <c r="I640" s="5" t="s">
        <v>1654</v>
      </c>
      <c r="J640" s="12" t="str">
        <f>HYPERLINK("https://www.boe.es/gazeta/dias/1807/03/06/pdfs/GMD-1807-22.pdf#page=12","Abrir facsímil")</f>
        <v>Abrir facsímil</v>
      </c>
      <c r="K640" s="15" t="s">
        <v>22</v>
      </c>
    </row>
    <row r="641" spans="1:11" ht="42" customHeight="1">
      <c r="A641" s="4" t="s">
        <v>1655</v>
      </c>
      <c r="B641" s="5" t="s">
        <v>1656</v>
      </c>
      <c r="C641" s="5" t="s">
        <v>17</v>
      </c>
      <c r="D641" s="5" t="s">
        <v>18</v>
      </c>
      <c r="E641" s="5" t="s">
        <v>111</v>
      </c>
      <c r="F641" s="9">
        <v>90</v>
      </c>
      <c r="G641" s="9">
        <v>1044</v>
      </c>
      <c r="H641" s="5" t="s">
        <v>20</v>
      </c>
      <c r="I641" s="5" t="s">
        <v>1657</v>
      </c>
      <c r="J641" s="12" t="str">
        <f>HYPERLINK("https://www.boe.es/gazeta/dias/1807/10/06/pdfs/GMD-1807-90.pdf#page=12","Abrir facsímil")</f>
        <v>Abrir facsímil</v>
      </c>
      <c r="K641" s="15" t="s">
        <v>22</v>
      </c>
    </row>
    <row r="642" spans="1:11" ht="42" customHeight="1">
      <c r="A642" s="4" t="s">
        <v>1658</v>
      </c>
      <c r="B642" s="5" t="s">
        <v>1659</v>
      </c>
      <c r="C642" s="5" t="s">
        <v>28</v>
      </c>
      <c r="D642" s="5" t="s">
        <v>29</v>
      </c>
      <c r="E642" s="5" t="s">
        <v>275</v>
      </c>
      <c r="F642" s="9">
        <v>104</v>
      </c>
      <c r="G642" s="9">
        <v>1216</v>
      </c>
      <c r="H642" s="5" t="s">
        <v>20</v>
      </c>
      <c r="I642" s="5" t="s">
        <v>1660</v>
      </c>
      <c r="J642" s="12" t="str">
        <f>HYPERLINK("https://www.boe.es/gazeta/dias/1807/11/24/pdfs/GMD-1807-104.pdf#page=12","Abrir facsímil")</f>
        <v>Abrir facsímil</v>
      </c>
      <c r="K642" s="15" t="s">
        <v>22</v>
      </c>
    </row>
    <row r="643" spans="1:11" ht="42" customHeight="1">
      <c r="A643" s="4" t="s">
        <v>1661</v>
      </c>
      <c r="B643" s="5" t="s">
        <v>1661</v>
      </c>
      <c r="C643" s="5" t="s">
        <v>34</v>
      </c>
      <c r="D643" s="5" t="s">
        <v>35</v>
      </c>
      <c r="E643" s="5" t="s">
        <v>139</v>
      </c>
      <c r="F643" s="9">
        <v>110</v>
      </c>
      <c r="G643" s="9">
        <v>1286</v>
      </c>
      <c r="H643" s="5" t="s">
        <v>20</v>
      </c>
      <c r="I643" s="5" t="s">
        <v>1662</v>
      </c>
      <c r="J643" s="12" t="str">
        <f>HYPERLINK("https://www.boe.es/gazeta/dias/1807/12/11/pdfs/GMD-1807-110.pdf#page=10","Abrir facsímil")</f>
        <v>Abrir facsímil</v>
      </c>
      <c r="K643" s="15" t="s">
        <v>22</v>
      </c>
    </row>
    <row r="644" spans="1:11" ht="42" customHeight="1">
      <c r="A644" s="4" t="s">
        <v>1663</v>
      </c>
      <c r="B644" s="5" t="s">
        <v>1664</v>
      </c>
      <c r="C644" s="5" t="s">
        <v>28</v>
      </c>
      <c r="D644" s="5" t="s">
        <v>29</v>
      </c>
      <c r="E644" s="5" t="s">
        <v>530</v>
      </c>
      <c r="F644" s="9">
        <v>79</v>
      </c>
      <c r="G644" s="9">
        <v>917</v>
      </c>
      <c r="H644" s="5" t="s">
        <v>20</v>
      </c>
      <c r="I644" s="5" t="s">
        <v>1665</v>
      </c>
      <c r="J644" s="12" t="str">
        <f>HYPERLINK("https://www.boe.es/gazeta/dias/1807/09/04/pdfs/GMD-1807-79.pdf#page=9","Abrir facsímil")</f>
        <v>Abrir facsímil</v>
      </c>
      <c r="K644" s="15" t="s">
        <v>22</v>
      </c>
    </row>
    <row r="645" spans="1:11" ht="42" customHeight="1">
      <c r="A645" s="4" t="s">
        <v>1666</v>
      </c>
      <c r="B645" s="5" t="s">
        <v>1666</v>
      </c>
      <c r="C645" s="5" t="s">
        <v>28</v>
      </c>
      <c r="D645" s="5" t="s">
        <v>29</v>
      </c>
      <c r="E645" s="5" t="s">
        <v>53</v>
      </c>
      <c r="F645" s="9">
        <v>64</v>
      </c>
      <c r="G645" s="9">
        <v>748</v>
      </c>
      <c r="H645" s="5" t="s">
        <v>20</v>
      </c>
      <c r="I645" s="5" t="s">
        <v>1667</v>
      </c>
      <c r="J645" s="12" t="str">
        <f>HYPERLINK("https://www.boe.es/gazeta/dias/1807/07/21/pdfs/GMD-1807-64.pdf#page=10","Abrir facsímil")</f>
        <v>Abrir facsímil</v>
      </c>
      <c r="K645" s="15" t="s">
        <v>22</v>
      </c>
    </row>
    <row r="646" spans="1:11" ht="42" customHeight="1">
      <c r="A646" s="4" t="s">
        <v>1668</v>
      </c>
      <c r="B646" s="5" t="s">
        <v>1668</v>
      </c>
      <c r="C646" s="5" t="s">
        <v>28</v>
      </c>
      <c r="D646" s="5" t="s">
        <v>29</v>
      </c>
      <c r="E646" s="5" t="s">
        <v>104</v>
      </c>
      <c r="F646" s="9">
        <v>25</v>
      </c>
      <c r="G646" s="9">
        <v>302</v>
      </c>
      <c r="H646" s="5" t="s">
        <v>20</v>
      </c>
      <c r="I646" s="5" t="s">
        <v>1669</v>
      </c>
      <c r="J646" s="12" t="str">
        <f>HYPERLINK("https://www.boe.es/gazeta/dias/1807/03/17/pdfs/GMD-1807-25.pdf#page=10","Abrir facsímil")</f>
        <v>Abrir facsímil</v>
      </c>
      <c r="K646" s="15" t="s">
        <v>22</v>
      </c>
    </row>
    <row r="647" spans="1:11" ht="42" customHeight="1">
      <c r="A647" s="4" t="s">
        <v>1668</v>
      </c>
      <c r="B647" s="5" t="s">
        <v>1668</v>
      </c>
      <c r="C647" s="5" t="s">
        <v>28</v>
      </c>
      <c r="D647" s="5" t="s">
        <v>29</v>
      </c>
      <c r="E647" s="5" t="s">
        <v>754</v>
      </c>
      <c r="F647" s="9">
        <v>103</v>
      </c>
      <c r="G647" s="9">
        <v>1203</v>
      </c>
      <c r="H647" s="5" t="s">
        <v>20</v>
      </c>
      <c r="I647" s="5" t="s">
        <v>1670</v>
      </c>
      <c r="J647" s="12" t="str">
        <f>HYPERLINK("https://www.boe.es/gazeta/dias/1807/11/20/pdfs/GMD-1807-103.pdf#page=11","Abrir facsímil")</f>
        <v>Abrir facsímil</v>
      </c>
      <c r="K647" s="15" t="s">
        <v>22</v>
      </c>
    </row>
    <row r="648" spans="1:11" ht="42" customHeight="1">
      <c r="A648" s="4" t="s">
        <v>1671</v>
      </c>
      <c r="B648" s="5" t="s">
        <v>1671</v>
      </c>
      <c r="C648" s="5" t="s">
        <v>28</v>
      </c>
      <c r="D648" s="5" t="s">
        <v>29</v>
      </c>
      <c r="E648" s="5" t="s">
        <v>1177</v>
      </c>
      <c r="F648" s="9">
        <v>101</v>
      </c>
      <c r="G648" s="9">
        <v>1179</v>
      </c>
      <c r="H648" s="5" t="s">
        <v>20</v>
      </c>
      <c r="I648" s="5" t="s">
        <v>1672</v>
      </c>
      <c r="J648" s="12" t="str">
        <f>HYPERLINK("https://www.boe.es/gazeta/dias/1807/11/13/pdfs/GMD-1807-101.pdf#page=11","Abrir facsímil")</f>
        <v>Abrir facsímil</v>
      </c>
      <c r="K648" s="15" t="s">
        <v>22</v>
      </c>
    </row>
    <row r="649" spans="1:11" ht="42" customHeight="1">
      <c r="A649" s="4" t="s">
        <v>1673</v>
      </c>
      <c r="B649" s="5" t="s">
        <v>1674</v>
      </c>
      <c r="C649" s="5" t="s">
        <v>28</v>
      </c>
      <c r="D649" s="5" t="s">
        <v>29</v>
      </c>
      <c r="E649" s="5" t="s">
        <v>426</v>
      </c>
      <c r="F649" s="9">
        <v>93</v>
      </c>
      <c r="G649" s="9">
        <v>1082</v>
      </c>
      <c r="H649" s="5" t="s">
        <v>20</v>
      </c>
      <c r="I649" s="5" t="s">
        <v>1675</v>
      </c>
      <c r="J649" s="12" t="str">
        <f>HYPERLINK("https://www.boe.es/gazeta/dias/1807/10/16/pdfs/GMD-1807-93.pdf#page=10","Abrir facsímil")</f>
        <v>Abrir facsímil</v>
      </c>
      <c r="K649" s="15" t="s">
        <v>22</v>
      </c>
    </row>
    <row r="650" spans="1:11" ht="42" customHeight="1">
      <c r="A650" s="4" t="s">
        <v>1676</v>
      </c>
      <c r="B650" s="5" t="s">
        <v>1676</v>
      </c>
      <c r="C650" s="5" t="s">
        <v>17</v>
      </c>
      <c r="D650" s="5" t="s">
        <v>18</v>
      </c>
      <c r="E650" s="5" t="s">
        <v>1354</v>
      </c>
      <c r="F650" s="9">
        <v>83</v>
      </c>
      <c r="G650" s="9">
        <v>971</v>
      </c>
      <c r="H650" s="5" t="s">
        <v>20</v>
      </c>
      <c r="I650" s="5" t="s">
        <v>1677</v>
      </c>
      <c r="J650" s="12" t="str">
        <f>HYPERLINK("https://www.boe.es/gazeta/dias/1807/09/18/pdfs/GMD-1807-83.pdf#page=11","Abrir facsímil")</f>
        <v>Abrir facsímil</v>
      </c>
      <c r="K650" s="15" t="s">
        <v>22</v>
      </c>
    </row>
    <row r="651" spans="1:11" ht="42" customHeight="1">
      <c r="A651" s="4" t="s">
        <v>1678</v>
      </c>
      <c r="B651" s="5" t="s">
        <v>1679</v>
      </c>
      <c r="C651" s="5" t="s">
        <v>49</v>
      </c>
      <c r="D651" s="5" t="s">
        <v>50</v>
      </c>
      <c r="E651" s="5" t="s">
        <v>241</v>
      </c>
      <c r="F651" s="9">
        <v>76</v>
      </c>
      <c r="G651" s="9">
        <v>875</v>
      </c>
      <c r="H651" s="5" t="s">
        <v>20</v>
      </c>
      <c r="I651" s="5" t="s">
        <v>1680</v>
      </c>
      <c r="J651" s="12" t="str">
        <f>HYPERLINK("https://www.boe.es/gazeta/dias/1807/08/25/pdfs/GMD-1807-76.pdf#page=3","Abrir facsímil")</f>
        <v>Abrir facsímil</v>
      </c>
      <c r="K651" s="15" t="s">
        <v>22</v>
      </c>
    </row>
    <row r="652" spans="1:11" ht="42" customHeight="1">
      <c r="A652" s="4" t="s">
        <v>1678</v>
      </c>
      <c r="B652" s="5" t="s">
        <v>1679</v>
      </c>
      <c r="C652" s="5" t="s">
        <v>49</v>
      </c>
      <c r="D652" s="5" t="s">
        <v>50</v>
      </c>
      <c r="E652" s="5" t="s">
        <v>530</v>
      </c>
      <c r="F652" s="9">
        <v>79</v>
      </c>
      <c r="G652" s="9">
        <v>913</v>
      </c>
      <c r="H652" s="5" t="s">
        <v>20</v>
      </c>
      <c r="I652" s="5" t="s">
        <v>1681</v>
      </c>
      <c r="J652" s="12" t="str">
        <f>HYPERLINK("https://www.boe.es/gazeta/dias/1807/09/04/pdfs/GMD-1807-79.pdf#page=5","Abrir facsímil")</f>
        <v>Abrir facsímil</v>
      </c>
      <c r="K652" s="15" t="s">
        <v>22</v>
      </c>
    </row>
    <row r="653" spans="1:11" ht="42" customHeight="1">
      <c r="A653" s="4" t="s">
        <v>1682</v>
      </c>
      <c r="B653" s="5" t="s">
        <v>1683</v>
      </c>
      <c r="C653" s="5" t="s">
        <v>34</v>
      </c>
      <c r="D653" s="5" t="s">
        <v>35</v>
      </c>
      <c r="E653" s="5" t="s">
        <v>114</v>
      </c>
      <c r="F653" s="9">
        <v>46</v>
      </c>
      <c r="G653" s="9">
        <v>549</v>
      </c>
      <c r="H653" s="5" t="s">
        <v>20</v>
      </c>
      <c r="I653" s="5" t="s">
        <v>1684</v>
      </c>
      <c r="J653" s="12" t="str">
        <f>HYPERLINK("https://www.boe.es/gazeta/dias/1807/05/29/pdfs/GMD-1807-46.pdf#page=7","Abrir facsímil")</f>
        <v>Abrir facsímil</v>
      </c>
      <c r="K653" s="15" t="s">
        <v>22</v>
      </c>
    </row>
    <row r="654" spans="1:11" ht="42" customHeight="1">
      <c r="A654" s="4" t="s">
        <v>1685</v>
      </c>
      <c r="B654" s="5" t="s">
        <v>1686</v>
      </c>
      <c r="C654" s="5" t="s">
        <v>28</v>
      </c>
      <c r="D654" s="5" t="s">
        <v>29</v>
      </c>
      <c r="E654" s="5" t="s">
        <v>149</v>
      </c>
      <c r="F654" s="9">
        <v>38</v>
      </c>
      <c r="G654" s="9">
        <v>454</v>
      </c>
      <c r="H654" s="5" t="s">
        <v>20</v>
      </c>
      <c r="I654" s="5" t="s">
        <v>1687</v>
      </c>
      <c r="J654" s="12" t="str">
        <f>HYPERLINK("https://www.boe.es/gazeta/dias/1807/05/01/pdfs/GMD-1807-38.pdf#page=10","Abrir facsímil")</f>
        <v>Abrir facsímil</v>
      </c>
      <c r="K654" s="15" t="s">
        <v>22</v>
      </c>
    </row>
    <row r="655" spans="1:11" ht="42" customHeight="1">
      <c r="A655" s="4" t="s">
        <v>1688</v>
      </c>
      <c r="B655" s="5" t="s">
        <v>1688</v>
      </c>
      <c r="C655" s="5" t="s">
        <v>89</v>
      </c>
      <c r="D655" s="5" t="s">
        <v>90</v>
      </c>
      <c r="E655" s="5" t="s">
        <v>1354</v>
      </c>
      <c r="F655" s="9">
        <v>83</v>
      </c>
      <c r="G655" s="9">
        <v>965</v>
      </c>
      <c r="H655" s="5" t="s">
        <v>20</v>
      </c>
      <c r="I655" s="5" t="s">
        <v>1689</v>
      </c>
      <c r="J655" s="12" t="str">
        <f>HYPERLINK("https://www.boe.es/gazeta/dias/1807/09/18/pdfs/GMD-1807-83.pdf#page=5","Abrir facsímil")</f>
        <v>Abrir facsímil</v>
      </c>
      <c r="K655" s="15" t="s">
        <v>22</v>
      </c>
    </row>
    <row r="656" spans="1:11" ht="42" customHeight="1">
      <c r="A656" s="4" t="s">
        <v>1690</v>
      </c>
      <c r="B656" s="5" t="s">
        <v>1690</v>
      </c>
      <c r="C656" s="5" t="s">
        <v>49</v>
      </c>
      <c r="D656" s="5" t="s">
        <v>50</v>
      </c>
      <c r="E656" s="5" t="s">
        <v>120</v>
      </c>
      <c r="F656" s="9">
        <v>10</v>
      </c>
      <c r="G656" s="9">
        <v>107</v>
      </c>
      <c r="H656" s="5" t="s">
        <v>20</v>
      </c>
      <c r="I656" s="5" t="s">
        <v>1691</v>
      </c>
      <c r="J656" s="12" t="str">
        <f>HYPERLINK("https://www.boe.es/gazeta/dias/1807/01/27/pdfs/GMD-1807-10.pdf#page=3","Abrir facsímil")</f>
        <v>Abrir facsímil</v>
      </c>
      <c r="K656" s="15" t="s">
        <v>22</v>
      </c>
    </row>
    <row r="657" spans="1:11" ht="42" customHeight="1">
      <c r="A657" s="4" t="s">
        <v>1692</v>
      </c>
      <c r="B657" s="5" t="s">
        <v>1693</v>
      </c>
      <c r="C657" s="5" t="s">
        <v>34</v>
      </c>
      <c r="D657" s="5" t="s">
        <v>35</v>
      </c>
      <c r="E657" s="5" t="s">
        <v>176</v>
      </c>
      <c r="F657" s="9">
        <v>17</v>
      </c>
      <c r="G657" s="9">
        <v>196</v>
      </c>
      <c r="H657" s="5" t="s">
        <v>20</v>
      </c>
      <c r="I657" s="5" t="s">
        <v>1694</v>
      </c>
      <c r="J657" s="12" t="str">
        <f>HYPERLINK("https://www.boe.es/gazeta/dias/1807/02/20/pdfs/GMD-1807-17.pdf#page=8","Abrir facsímil")</f>
        <v>Abrir facsímil</v>
      </c>
      <c r="K657" s="15" t="s">
        <v>22</v>
      </c>
    </row>
    <row r="658" spans="1:11" ht="42" customHeight="1">
      <c r="A658" s="4" t="s">
        <v>1695</v>
      </c>
      <c r="B658" s="5" t="s">
        <v>1696</v>
      </c>
      <c r="C658" s="5" t="s">
        <v>28</v>
      </c>
      <c r="D658" s="5" t="s">
        <v>29</v>
      </c>
      <c r="E658" s="5" t="s">
        <v>91</v>
      </c>
      <c r="F658" s="9">
        <v>109</v>
      </c>
      <c r="G658" s="9">
        <v>1273</v>
      </c>
      <c r="H658" s="5" t="s">
        <v>20</v>
      </c>
      <c r="I658" s="5" t="s">
        <v>1697</v>
      </c>
      <c r="J658" s="12" t="str">
        <f>HYPERLINK("https://www.boe.es/gazeta/dias/1807/12/08/pdfs/GMD-1807-109.pdf#page=9","Abrir facsímil")</f>
        <v>Abrir facsímil</v>
      </c>
      <c r="K658" s="15" t="s">
        <v>22</v>
      </c>
    </row>
    <row r="659" spans="1:11" ht="42" customHeight="1">
      <c r="A659" s="4" t="s">
        <v>1698</v>
      </c>
      <c r="B659" s="5" t="s">
        <v>1699</v>
      </c>
      <c r="C659" s="5" t="s">
        <v>17</v>
      </c>
      <c r="D659" s="5" t="s">
        <v>18</v>
      </c>
      <c r="E659" s="5" t="s">
        <v>666</v>
      </c>
      <c r="F659" s="9">
        <v>43</v>
      </c>
      <c r="G659" s="9">
        <v>515</v>
      </c>
      <c r="H659" s="5" t="s">
        <v>20</v>
      </c>
      <c r="I659" s="5" t="s">
        <v>1700</v>
      </c>
      <c r="J659" s="12" t="str">
        <f>HYPERLINK("https://www.boe.es/gazeta/dias/1807/05/19/pdfs/GMD-1807-43.pdf#page=9","Abrir facsímil")</f>
        <v>Abrir facsímil</v>
      </c>
      <c r="K659" s="15" t="s">
        <v>22</v>
      </c>
    </row>
    <row r="660" spans="1:11" ht="42" customHeight="1">
      <c r="A660" s="4" t="s">
        <v>1701</v>
      </c>
      <c r="B660" s="5" t="s">
        <v>1702</v>
      </c>
      <c r="C660" s="5" t="s">
        <v>28</v>
      </c>
      <c r="D660" s="5" t="s">
        <v>29</v>
      </c>
      <c r="E660" s="5" t="s">
        <v>123</v>
      </c>
      <c r="F660" s="9">
        <v>70</v>
      </c>
      <c r="G660" s="9">
        <v>805</v>
      </c>
      <c r="H660" s="5" t="s">
        <v>20</v>
      </c>
      <c r="I660" s="5" t="s">
        <v>1703</v>
      </c>
      <c r="J660" s="12" t="str">
        <f>HYPERLINK("https://www.boe.es/gazeta/dias/1807/08/04/pdfs/GMD-1807-70.pdf#page=9","Abrir facsímil")</f>
        <v>Abrir facsímil</v>
      </c>
      <c r="K660" s="15" t="s">
        <v>22</v>
      </c>
    </row>
    <row r="661" spans="1:11" ht="42" customHeight="1">
      <c r="A661" s="4" t="s">
        <v>1704</v>
      </c>
      <c r="B661" s="5" t="s">
        <v>1705</v>
      </c>
      <c r="C661" s="5" t="s">
        <v>17</v>
      </c>
      <c r="D661" s="5" t="s">
        <v>18</v>
      </c>
      <c r="E661" s="5" t="s">
        <v>319</v>
      </c>
      <c r="F661" s="9">
        <v>54</v>
      </c>
      <c r="G661" s="9">
        <v>644</v>
      </c>
      <c r="H661" s="5" t="s">
        <v>20</v>
      </c>
      <c r="I661" s="5" t="s">
        <v>1706</v>
      </c>
      <c r="J661" s="12" t="str">
        <f>HYPERLINK("https://www.boe.es/gazeta/dias/1807/06/26/pdfs/GMD-1807-54.pdf#page=6","Abrir facsímil")</f>
        <v>Abrir facsímil</v>
      </c>
      <c r="K661" s="15" t="s">
        <v>22</v>
      </c>
    </row>
    <row r="662" spans="1:11" ht="42" customHeight="1">
      <c r="A662" s="4" t="s">
        <v>1707</v>
      </c>
      <c r="B662" s="5" t="s">
        <v>1708</v>
      </c>
      <c r="C662" s="5" t="s">
        <v>28</v>
      </c>
      <c r="D662" s="5" t="s">
        <v>29</v>
      </c>
      <c r="E662" s="5" t="s">
        <v>101</v>
      </c>
      <c r="F662" s="9">
        <v>23</v>
      </c>
      <c r="G662" s="9">
        <v>274</v>
      </c>
      <c r="H662" s="5" t="s">
        <v>20</v>
      </c>
      <c r="I662" s="5" t="s">
        <v>1709</v>
      </c>
      <c r="J662" s="12" t="str">
        <f>HYPERLINK("https://www.boe.es/gazeta/dias/1807/03/10/pdfs/GMD-1807-23.pdf#page=14","Abrir facsímil")</f>
        <v>Abrir facsímil</v>
      </c>
      <c r="K662" s="15" t="s">
        <v>22</v>
      </c>
    </row>
    <row r="663" spans="1:11" ht="42" customHeight="1">
      <c r="A663" s="4" t="s">
        <v>1710</v>
      </c>
      <c r="B663" s="5" t="s">
        <v>1711</v>
      </c>
      <c r="C663" s="5" t="s">
        <v>28</v>
      </c>
      <c r="D663" s="5" t="s">
        <v>29</v>
      </c>
      <c r="E663" s="5" t="s">
        <v>530</v>
      </c>
      <c r="F663" s="9">
        <v>79</v>
      </c>
      <c r="G663" s="9">
        <v>920</v>
      </c>
      <c r="H663" s="5" t="s">
        <v>20</v>
      </c>
      <c r="I663" s="5" t="s">
        <v>1712</v>
      </c>
      <c r="J663" s="12" t="str">
        <f>HYPERLINK("https://www.boe.es/gazeta/dias/1807/09/04/pdfs/GMD-1807-79.pdf#page=12","Abrir facsímil")</f>
        <v>Abrir facsímil</v>
      </c>
      <c r="K663" s="15" t="s">
        <v>22</v>
      </c>
    </row>
    <row r="664" spans="1:11" ht="42" customHeight="1">
      <c r="A664" s="4" t="s">
        <v>1713</v>
      </c>
      <c r="B664" s="5" t="s">
        <v>1714</v>
      </c>
      <c r="C664" s="5" t="s">
        <v>34</v>
      </c>
      <c r="D664" s="5" t="s">
        <v>35</v>
      </c>
      <c r="E664" s="5" t="s">
        <v>94</v>
      </c>
      <c r="F664" s="9">
        <v>22</v>
      </c>
      <c r="G664" s="9">
        <v>255</v>
      </c>
      <c r="H664" s="5" t="s">
        <v>20</v>
      </c>
      <c r="I664" s="5" t="s">
        <v>1715</v>
      </c>
      <c r="J664" s="12" t="str">
        <f>HYPERLINK("https://www.boe.es/gazeta/dias/1807/03/06/pdfs/GMD-1807-22.pdf#page=7","Abrir facsímil")</f>
        <v>Abrir facsímil</v>
      </c>
      <c r="K664" s="15" t="s">
        <v>22</v>
      </c>
    </row>
    <row r="665" spans="1:11" ht="42" customHeight="1">
      <c r="A665" s="4" t="s">
        <v>1716</v>
      </c>
      <c r="B665" s="5" t="s">
        <v>1717</v>
      </c>
      <c r="C665" s="5" t="s">
        <v>89</v>
      </c>
      <c r="D665" s="5" t="s">
        <v>90</v>
      </c>
      <c r="E665" s="5" t="s">
        <v>581</v>
      </c>
      <c r="F665" s="9">
        <v>71</v>
      </c>
      <c r="G665" s="9">
        <v>818</v>
      </c>
      <c r="H665" s="5" t="s">
        <v>20</v>
      </c>
      <c r="I665" s="5" t="s">
        <v>1718</v>
      </c>
      <c r="J665" s="12" t="str">
        <f>HYPERLINK("https://www.boe.es/gazeta/dias/1807/08/07/pdfs/GMD-1807-71.pdf#page=10","Abrir facsímil")</f>
        <v>Abrir facsímil</v>
      </c>
      <c r="K665" s="15" t="s">
        <v>22</v>
      </c>
    </row>
    <row r="666" spans="1:11" ht="42" customHeight="1">
      <c r="A666" s="4" t="s">
        <v>1719</v>
      </c>
      <c r="B666" s="5" t="s">
        <v>1720</v>
      </c>
      <c r="C666" s="5" t="s">
        <v>24</v>
      </c>
      <c r="D666" s="5" t="s">
        <v>18</v>
      </c>
      <c r="E666" s="5" t="s">
        <v>464</v>
      </c>
      <c r="F666" s="9">
        <v>18</v>
      </c>
      <c r="G666" s="9">
        <v>212</v>
      </c>
      <c r="H666" s="5" t="s">
        <v>20</v>
      </c>
      <c r="I666" s="5" t="s">
        <v>1721</v>
      </c>
      <c r="J666" s="12" t="str">
        <f>HYPERLINK("https://www.boe.es/gazeta/dias/1807/02/24/pdfs/GMD-1807-18.pdf#page=12","Abrir facsímil")</f>
        <v>Abrir facsímil</v>
      </c>
      <c r="K666" s="15" t="s">
        <v>22</v>
      </c>
    </row>
    <row r="667" spans="1:11" ht="42" customHeight="1">
      <c r="A667" s="4" t="s">
        <v>1722</v>
      </c>
      <c r="B667" s="5" t="s">
        <v>1723</v>
      </c>
      <c r="C667" s="5" t="s">
        <v>24</v>
      </c>
      <c r="D667" s="5" t="s">
        <v>18</v>
      </c>
      <c r="E667" s="5" t="s">
        <v>46</v>
      </c>
      <c r="F667" s="9">
        <v>78</v>
      </c>
      <c r="G667" s="9">
        <v>904</v>
      </c>
      <c r="H667" s="5" t="s">
        <v>20</v>
      </c>
      <c r="I667" s="5" t="s">
        <v>1724</v>
      </c>
      <c r="J667" s="12" t="str">
        <f>HYPERLINK("https://www.boe.es/gazeta/dias/1807/09/01/pdfs/GMD-1807-78.pdf#page=8","Abrir facsímil")</f>
        <v>Abrir facsímil</v>
      </c>
      <c r="K667" s="15" t="s">
        <v>22</v>
      </c>
    </row>
    <row r="668" spans="1:11" ht="42" customHeight="1">
      <c r="A668" s="4" t="s">
        <v>1725</v>
      </c>
      <c r="B668" s="5" t="s">
        <v>1726</v>
      </c>
      <c r="C668" s="5" t="s">
        <v>24</v>
      </c>
      <c r="D668" s="5" t="s">
        <v>18</v>
      </c>
      <c r="E668" s="5" t="s">
        <v>296</v>
      </c>
      <c r="F668" s="9">
        <v>102</v>
      </c>
      <c r="G668" s="9">
        <v>1190</v>
      </c>
      <c r="H668" s="5" t="s">
        <v>20</v>
      </c>
      <c r="I668" s="5" t="s">
        <v>1727</v>
      </c>
      <c r="J668" s="12" t="str">
        <f>HYPERLINK("https://www.boe.es/gazeta/dias/1807/11/17/pdfs/GMD-1807-102.pdf#page=10","Abrir facsímil")</f>
        <v>Abrir facsímil</v>
      </c>
      <c r="K668" s="15" t="s">
        <v>22</v>
      </c>
    </row>
    <row r="669" spans="1:11" ht="42" customHeight="1">
      <c r="A669" s="4" t="s">
        <v>1728</v>
      </c>
      <c r="B669" s="5" t="s">
        <v>1728</v>
      </c>
      <c r="C669" s="5" t="s">
        <v>28</v>
      </c>
      <c r="D669" s="5" t="s">
        <v>29</v>
      </c>
      <c r="E669" s="5" t="s">
        <v>346</v>
      </c>
      <c r="F669" s="9">
        <v>21</v>
      </c>
      <c r="G669" s="9">
        <v>245</v>
      </c>
      <c r="H669" s="5" t="s">
        <v>20</v>
      </c>
      <c r="I669" s="5" t="s">
        <v>1729</v>
      </c>
      <c r="J669" s="12" t="str">
        <f>HYPERLINK("https://www.boe.es/gazeta/dias/1807/03/03/pdfs/GMD-1807-21.pdf#page=9","Abrir facsímil")</f>
        <v>Abrir facsímil</v>
      </c>
      <c r="K669" s="15" t="s">
        <v>22</v>
      </c>
    </row>
    <row r="670" spans="1:11" ht="42" customHeight="1">
      <c r="A670" s="4" t="s">
        <v>1730</v>
      </c>
      <c r="B670" s="5" t="s">
        <v>1731</v>
      </c>
      <c r="C670" s="5" t="s">
        <v>28</v>
      </c>
      <c r="D670" s="5" t="s">
        <v>29</v>
      </c>
      <c r="E670" s="5" t="s">
        <v>42</v>
      </c>
      <c r="F670" s="9">
        <v>31</v>
      </c>
      <c r="G670" s="9">
        <v>367</v>
      </c>
      <c r="H670" s="5" t="s">
        <v>20</v>
      </c>
      <c r="I670" s="5" t="s">
        <v>1732</v>
      </c>
      <c r="J670" s="12" t="str">
        <f>HYPERLINK("https://www.boe.es/gazeta/dias/1807/04/07/pdfs/GMD-1807-31.pdf#page=7","Abrir facsímil")</f>
        <v>Abrir facsímil</v>
      </c>
      <c r="K670" s="15" t="s">
        <v>22</v>
      </c>
    </row>
    <row r="671" spans="1:11" ht="42" customHeight="1">
      <c r="A671" s="4" t="s">
        <v>1733</v>
      </c>
      <c r="B671" s="5" t="s">
        <v>1734</v>
      </c>
      <c r="C671" s="5" t="s">
        <v>24</v>
      </c>
      <c r="D671" s="5" t="s">
        <v>18</v>
      </c>
      <c r="E671" s="5" t="s">
        <v>98</v>
      </c>
      <c r="F671" s="9">
        <v>34</v>
      </c>
      <c r="G671" s="9">
        <v>404</v>
      </c>
      <c r="H671" s="5" t="s">
        <v>20</v>
      </c>
      <c r="I671" s="5" t="s">
        <v>1735</v>
      </c>
      <c r="J671" s="12" t="str">
        <f>HYPERLINK("https://www.boe.es/gazeta/dias/1807/04/17/pdfs/GMD-1807-34.pdf#page=8","Abrir facsímil")</f>
        <v>Abrir facsímil</v>
      </c>
      <c r="K671" s="15" t="s">
        <v>22</v>
      </c>
    </row>
    <row r="672" spans="1:11" ht="42" customHeight="1">
      <c r="A672" s="4" t="s">
        <v>1736</v>
      </c>
      <c r="B672" s="5" t="s">
        <v>1737</v>
      </c>
      <c r="C672" s="5" t="s">
        <v>17</v>
      </c>
      <c r="D672" s="5" t="s">
        <v>18</v>
      </c>
      <c r="E672" s="5" t="s">
        <v>321</v>
      </c>
      <c r="F672" s="9">
        <v>75</v>
      </c>
      <c r="G672" s="9">
        <v>871</v>
      </c>
      <c r="H672" s="5" t="s">
        <v>20</v>
      </c>
      <c r="I672" s="5" t="s">
        <v>1738</v>
      </c>
      <c r="J672" s="12" t="str">
        <f>HYPERLINK("https://www.boe.es/gazeta/dias/1807/08/21/pdfs/GMD-1807-75.pdf#page=11","Abrir facsímil")</f>
        <v>Abrir facsímil</v>
      </c>
      <c r="K672" s="15" t="s">
        <v>22</v>
      </c>
    </row>
    <row r="673" spans="1:11" ht="42" customHeight="1">
      <c r="A673" s="4" t="s">
        <v>1739</v>
      </c>
      <c r="B673" s="5" t="s">
        <v>1740</v>
      </c>
      <c r="C673" s="5" t="s">
        <v>17</v>
      </c>
      <c r="D673" s="5" t="s">
        <v>18</v>
      </c>
      <c r="E673" s="5" t="s">
        <v>406</v>
      </c>
      <c r="F673" s="9">
        <v>82</v>
      </c>
      <c r="G673" s="9">
        <v>955</v>
      </c>
      <c r="H673" s="5" t="s">
        <v>20</v>
      </c>
      <c r="I673" s="5" t="s">
        <v>1741</v>
      </c>
      <c r="J673" s="12" t="str">
        <f>HYPERLINK("https://www.boe.es/gazeta/dias/1807/09/15/pdfs/GMD-1807-82.pdf#page=7","Abrir facsímil")</f>
        <v>Abrir facsímil</v>
      </c>
      <c r="K673" s="15" t="s">
        <v>22</v>
      </c>
    </row>
    <row r="674" spans="1:11" ht="42" customHeight="1">
      <c r="A674" s="4" t="s">
        <v>1742</v>
      </c>
      <c r="B674" s="5" t="s">
        <v>1743</v>
      </c>
      <c r="C674" s="5" t="s">
        <v>17</v>
      </c>
      <c r="D674" s="5" t="s">
        <v>18</v>
      </c>
      <c r="E674" s="5" t="s">
        <v>179</v>
      </c>
      <c r="F674" s="9">
        <v>100</v>
      </c>
      <c r="G674" s="9">
        <v>1164</v>
      </c>
      <c r="H674" s="5" t="s">
        <v>20</v>
      </c>
      <c r="I674" s="5" t="s">
        <v>1744</v>
      </c>
      <c r="J674" s="12" t="str">
        <f>HYPERLINK("https://www.boe.es/gazeta/dias/1807/11/10/pdfs/GMD-1807-100.pdf#page=8","Abrir facsímil")</f>
        <v>Abrir facsímil</v>
      </c>
      <c r="K674" s="15" t="s">
        <v>22</v>
      </c>
    </row>
    <row r="675" spans="1:11" ht="42" customHeight="1">
      <c r="A675" s="4" t="s">
        <v>1745</v>
      </c>
      <c r="B675" s="5" t="s">
        <v>1746</v>
      </c>
      <c r="C675" s="5" t="s">
        <v>34</v>
      </c>
      <c r="D675" s="5" t="s">
        <v>35</v>
      </c>
      <c r="E675" s="5" t="s">
        <v>111</v>
      </c>
      <c r="F675" s="9">
        <v>90</v>
      </c>
      <c r="G675" s="9">
        <v>1044</v>
      </c>
      <c r="H675" s="5" t="s">
        <v>20</v>
      </c>
      <c r="I675" s="5" t="s">
        <v>1747</v>
      </c>
      <c r="J675" s="12" t="str">
        <f>HYPERLINK("https://www.boe.es/gazeta/dias/1807/10/06/pdfs/GMD-1807-90.pdf#page=12","Abrir facsímil")</f>
        <v>Abrir facsímil</v>
      </c>
      <c r="K675" s="15" t="s">
        <v>22</v>
      </c>
    </row>
    <row r="676" spans="1:11" ht="42" customHeight="1">
      <c r="A676" s="4" t="s">
        <v>1748</v>
      </c>
      <c r="B676" s="5" t="s">
        <v>1749</v>
      </c>
      <c r="C676" s="5" t="s">
        <v>17</v>
      </c>
      <c r="D676" s="5" t="s">
        <v>18</v>
      </c>
      <c r="E676" s="5" t="s">
        <v>53</v>
      </c>
      <c r="F676" s="9">
        <v>64</v>
      </c>
      <c r="G676" s="9">
        <v>746</v>
      </c>
      <c r="H676" s="5" t="s">
        <v>20</v>
      </c>
      <c r="I676" s="5" t="s">
        <v>1750</v>
      </c>
      <c r="J676" s="12" t="str">
        <f>HYPERLINK("https://www.boe.es/gazeta/dias/1807/07/21/pdfs/GMD-1807-64.pdf#page=8","Abrir facsímil")</f>
        <v>Abrir facsímil</v>
      </c>
      <c r="K676" s="15" t="s">
        <v>22</v>
      </c>
    </row>
    <row r="677" spans="1:11" ht="42" customHeight="1">
      <c r="A677" s="4" t="s">
        <v>1751</v>
      </c>
      <c r="B677" s="5" t="s">
        <v>1752</v>
      </c>
      <c r="C677" s="5" t="s">
        <v>34</v>
      </c>
      <c r="D677" s="5" t="s">
        <v>35</v>
      </c>
      <c r="E677" s="5" t="s">
        <v>30</v>
      </c>
      <c r="F677" s="9">
        <v>13</v>
      </c>
      <c r="G677" s="9">
        <v>149</v>
      </c>
      <c r="H677" s="5" t="s">
        <v>20</v>
      </c>
      <c r="I677" s="5" t="s">
        <v>1753</v>
      </c>
      <c r="J677" s="12" t="str">
        <f>HYPERLINK("https://www.boe.es/gazeta/dias/1807/02/06/pdfs/GMD-1807-13.pdf#page=9","Abrir facsímil")</f>
        <v>Abrir facsímil</v>
      </c>
      <c r="K677" s="15" t="s">
        <v>22</v>
      </c>
    </row>
    <row r="678" spans="1:11" ht="42" customHeight="1">
      <c r="A678" s="4" t="s">
        <v>1754</v>
      </c>
      <c r="B678" s="5" t="s">
        <v>1755</v>
      </c>
      <c r="C678" s="5" t="s">
        <v>34</v>
      </c>
      <c r="D678" s="5" t="s">
        <v>35</v>
      </c>
      <c r="E678" s="5" t="s">
        <v>139</v>
      </c>
      <c r="F678" s="9">
        <v>110</v>
      </c>
      <c r="G678" s="9">
        <v>1284</v>
      </c>
      <c r="H678" s="5" t="s">
        <v>20</v>
      </c>
      <c r="I678" s="5" t="s">
        <v>1756</v>
      </c>
      <c r="J678" s="12" t="str">
        <f>HYPERLINK("https://www.boe.es/gazeta/dias/1807/12/11/pdfs/GMD-1807-110.pdf#page=8","Abrir facsímil")</f>
        <v>Abrir facsímil</v>
      </c>
      <c r="K678" s="15" t="s">
        <v>22</v>
      </c>
    </row>
    <row r="679" spans="1:11" ht="42" customHeight="1">
      <c r="A679" s="4" t="s">
        <v>1757</v>
      </c>
      <c r="B679" s="5" t="s">
        <v>1758</v>
      </c>
      <c r="C679" s="5" t="s">
        <v>89</v>
      </c>
      <c r="D679" s="5" t="s">
        <v>90</v>
      </c>
      <c r="E679" s="5" t="s">
        <v>259</v>
      </c>
      <c r="F679" s="9">
        <v>3</v>
      </c>
      <c r="G679" s="9">
        <v>31</v>
      </c>
      <c r="H679" s="5" t="s">
        <v>20</v>
      </c>
      <c r="I679" s="5" t="s">
        <v>1759</v>
      </c>
      <c r="J679" s="12" t="str">
        <f>HYPERLINK("https://www.boe.es/gazeta/dias/1807/01/09/pdfs/GMD-1807-3.pdf#page=11","Abrir facsímil")</f>
        <v>Abrir facsímil</v>
      </c>
      <c r="K679" s="15" t="s">
        <v>22</v>
      </c>
    </row>
    <row r="680" spans="1:11" ht="42" customHeight="1">
      <c r="A680" s="4" t="s">
        <v>1760</v>
      </c>
      <c r="B680" s="5" t="s">
        <v>1760</v>
      </c>
      <c r="C680" s="5" t="s">
        <v>252</v>
      </c>
      <c r="D680" s="5" t="s">
        <v>253</v>
      </c>
      <c r="E680" s="5" t="s">
        <v>314</v>
      </c>
      <c r="F680" s="9" t="s">
        <v>315</v>
      </c>
      <c r="G680" s="9">
        <v>1218</v>
      </c>
      <c r="H680" s="5" t="s">
        <v>20</v>
      </c>
      <c r="I680" s="5" t="s">
        <v>1761</v>
      </c>
      <c r="J680" s="12" t="str">
        <f>HYPERLINK("https://www.boe.es/gazeta/dias/1807/11/26/pdfs/GMD-1807-105E.pdf#page=2","Abrir facsímil")</f>
        <v>Abrir facsímil</v>
      </c>
      <c r="K680" s="15" t="s">
        <v>22</v>
      </c>
    </row>
    <row r="681" spans="1:11" ht="42" customHeight="1">
      <c r="A681" s="4" t="s">
        <v>1760</v>
      </c>
      <c r="B681" s="5" t="s">
        <v>1760</v>
      </c>
      <c r="C681" s="5" t="s">
        <v>252</v>
      </c>
      <c r="D681" s="5" t="s">
        <v>253</v>
      </c>
      <c r="E681" s="5" t="s">
        <v>314</v>
      </c>
      <c r="F681" s="9" t="s">
        <v>315</v>
      </c>
      <c r="G681" s="9">
        <v>1222</v>
      </c>
      <c r="H681" s="5" t="s">
        <v>20</v>
      </c>
      <c r="I681" s="5" t="s">
        <v>1762</v>
      </c>
      <c r="J681" s="12" t="str">
        <f>HYPERLINK("https://www.boe.es/gazeta/dias/1807/11/26/pdfs/GMD-1807-105E.pdf#page=6","Abrir facsímil")</f>
        <v>Abrir facsímil</v>
      </c>
      <c r="K681" s="15" t="s">
        <v>22</v>
      </c>
    </row>
    <row r="682" spans="1:11" ht="42" customHeight="1">
      <c r="A682" s="4" t="s">
        <v>1763</v>
      </c>
      <c r="B682" s="5" t="s">
        <v>1764</v>
      </c>
      <c r="C682" s="5" t="s">
        <v>28</v>
      </c>
      <c r="D682" s="5" t="s">
        <v>29</v>
      </c>
      <c r="E682" s="5" t="s">
        <v>156</v>
      </c>
      <c r="F682" s="9">
        <v>74</v>
      </c>
      <c r="G682" s="9">
        <v>855</v>
      </c>
      <c r="H682" s="5" t="s">
        <v>20</v>
      </c>
      <c r="I682" s="5" t="s">
        <v>1765</v>
      </c>
      <c r="J682" s="12" t="str">
        <f>HYPERLINK("https://www.boe.es/gazeta/dias/1807/08/18/pdfs/GMD-1807-74.pdf#page=7","Abrir facsímil")</f>
        <v>Abrir facsímil</v>
      </c>
      <c r="K682" s="15" t="s">
        <v>22</v>
      </c>
    </row>
    <row r="683" spans="1:11" ht="42" customHeight="1">
      <c r="A683" s="4" t="s">
        <v>1766</v>
      </c>
      <c r="B683" s="5" t="s">
        <v>1767</v>
      </c>
      <c r="C683" s="5" t="s">
        <v>28</v>
      </c>
      <c r="D683" s="5" t="s">
        <v>29</v>
      </c>
      <c r="E683" s="5" t="s">
        <v>327</v>
      </c>
      <c r="F683" s="9">
        <v>108</v>
      </c>
      <c r="G683" s="9">
        <v>1261</v>
      </c>
      <c r="H683" s="5" t="s">
        <v>20</v>
      </c>
      <c r="I683" s="5" t="s">
        <v>1768</v>
      </c>
      <c r="J683" s="12" t="str">
        <f>HYPERLINK("https://www.boe.es/gazeta/dias/1807/12/04/pdfs/GMD-1807-108.pdf#page=9","Abrir facsímil")</f>
        <v>Abrir facsímil</v>
      </c>
      <c r="K683" s="15" t="s">
        <v>22</v>
      </c>
    </row>
    <row r="684" spans="1:11" ht="42" customHeight="1">
      <c r="A684" s="4" t="s">
        <v>1769</v>
      </c>
      <c r="B684" s="5" t="s">
        <v>1770</v>
      </c>
      <c r="C684" s="5" t="s">
        <v>28</v>
      </c>
      <c r="D684" s="5" t="s">
        <v>29</v>
      </c>
      <c r="E684" s="5" t="s">
        <v>71</v>
      </c>
      <c r="F684" s="9">
        <v>35</v>
      </c>
      <c r="G684" s="9">
        <v>415</v>
      </c>
      <c r="H684" s="5" t="s">
        <v>20</v>
      </c>
      <c r="I684" s="5" t="s">
        <v>1771</v>
      </c>
      <c r="J684" s="12" t="str">
        <f>HYPERLINK("https://www.boe.es/gazeta/dias/1807/04/21/pdfs/GMD-1807-35.pdf#page=7","Abrir facsímil")</f>
        <v>Abrir facsímil</v>
      </c>
      <c r="K684" s="15" t="s">
        <v>22</v>
      </c>
    </row>
    <row r="685" spans="1:11" ht="42" customHeight="1">
      <c r="A685" s="4" t="s">
        <v>1769</v>
      </c>
      <c r="B685" s="5" t="s">
        <v>1770</v>
      </c>
      <c r="C685" s="5" t="s">
        <v>28</v>
      </c>
      <c r="D685" s="5" t="s">
        <v>29</v>
      </c>
      <c r="E685" s="5" t="s">
        <v>471</v>
      </c>
      <c r="F685" s="9">
        <v>51</v>
      </c>
      <c r="G685" s="9">
        <v>606</v>
      </c>
      <c r="H685" s="5" t="s">
        <v>20</v>
      </c>
      <c r="I685" s="5" t="s">
        <v>1772</v>
      </c>
      <c r="J685" s="12" t="str">
        <f>HYPERLINK("https://www.boe.es/gazeta/dias/1807/06/16/pdfs/GMD-1807-51.pdf#page=8","Abrir facsímil")</f>
        <v>Abrir facsímil</v>
      </c>
      <c r="K685" s="15" t="s">
        <v>22</v>
      </c>
    </row>
    <row r="686" spans="1:11" ht="42" customHeight="1">
      <c r="A686" s="4" t="s">
        <v>1769</v>
      </c>
      <c r="B686" s="5" t="s">
        <v>1770</v>
      </c>
      <c r="C686" s="5" t="s">
        <v>28</v>
      </c>
      <c r="D686" s="5" t="s">
        <v>29</v>
      </c>
      <c r="E686" s="5" t="s">
        <v>219</v>
      </c>
      <c r="F686" s="9">
        <v>56</v>
      </c>
      <c r="G686" s="9">
        <v>669</v>
      </c>
      <c r="H686" s="5" t="s">
        <v>20</v>
      </c>
      <c r="I686" s="5" t="s">
        <v>1773</v>
      </c>
      <c r="J686" s="12" t="str">
        <f>HYPERLINK("https://www.boe.es/gazeta/dias/1807/07/03/pdfs/GMD-1807-56.pdf#page=7","Abrir facsímil")</f>
        <v>Abrir facsímil</v>
      </c>
      <c r="K686" s="15" t="s">
        <v>22</v>
      </c>
    </row>
    <row r="687" spans="1:11" ht="42" customHeight="1">
      <c r="A687" s="4" t="s">
        <v>1769</v>
      </c>
      <c r="B687" s="5" t="s">
        <v>1770</v>
      </c>
      <c r="C687" s="5" t="s">
        <v>89</v>
      </c>
      <c r="D687" s="5" t="s">
        <v>90</v>
      </c>
      <c r="E687" s="5" t="s">
        <v>530</v>
      </c>
      <c r="F687" s="9">
        <v>79</v>
      </c>
      <c r="G687" s="9">
        <v>920</v>
      </c>
      <c r="H687" s="5" t="s">
        <v>20</v>
      </c>
      <c r="I687" s="5" t="s">
        <v>1774</v>
      </c>
      <c r="J687" s="12" t="str">
        <f>HYPERLINK("https://www.boe.es/gazeta/dias/1807/09/04/pdfs/GMD-1807-79.pdf#page=12","Abrir facsímil")</f>
        <v>Abrir facsímil</v>
      </c>
      <c r="K687" s="15" t="s">
        <v>22</v>
      </c>
    </row>
    <row r="688" spans="1:11" ht="42" customHeight="1">
      <c r="A688" s="4" t="s">
        <v>1775</v>
      </c>
      <c r="B688" s="5" t="s">
        <v>1776</v>
      </c>
      <c r="C688" s="5" t="s">
        <v>17</v>
      </c>
      <c r="D688" s="5" t="s">
        <v>18</v>
      </c>
      <c r="E688" s="5" t="s">
        <v>426</v>
      </c>
      <c r="F688" s="9">
        <v>93</v>
      </c>
      <c r="G688" s="9">
        <v>1083</v>
      </c>
      <c r="H688" s="5" t="s">
        <v>20</v>
      </c>
      <c r="I688" s="5" t="s">
        <v>1777</v>
      </c>
      <c r="J688" s="12" t="str">
        <f>HYPERLINK("https://www.boe.es/gazeta/dias/1807/10/16/pdfs/GMD-1807-93.pdf#page=11","Abrir facsímil")</f>
        <v>Abrir facsímil</v>
      </c>
      <c r="K688" s="15" t="s">
        <v>22</v>
      </c>
    </row>
    <row r="689" spans="1:11" ht="42" customHeight="1">
      <c r="A689" s="4" t="s">
        <v>1778</v>
      </c>
      <c r="B689" s="5" t="s">
        <v>1779</v>
      </c>
      <c r="C689" s="5" t="s">
        <v>28</v>
      </c>
      <c r="D689" s="5" t="s">
        <v>29</v>
      </c>
      <c r="E689" s="5" t="s">
        <v>215</v>
      </c>
      <c r="F689" s="9">
        <v>5</v>
      </c>
      <c r="G689" s="9">
        <v>49</v>
      </c>
      <c r="H689" s="5" t="s">
        <v>20</v>
      </c>
      <c r="I689" s="5" t="s">
        <v>1780</v>
      </c>
      <c r="J689" s="12" t="str">
        <f>HYPERLINK("https://www.boe.es/gazeta/dias/1807/01/16/pdfs/GMD-1807-5.pdf#page=5","Abrir facsímil")</f>
        <v>Abrir facsímil</v>
      </c>
      <c r="K689" s="15" t="s">
        <v>22</v>
      </c>
    </row>
    <row r="690" spans="1:11" ht="42" customHeight="1">
      <c r="A690" s="4" t="s">
        <v>1781</v>
      </c>
      <c r="B690" s="5" t="s">
        <v>1782</v>
      </c>
      <c r="C690" s="5" t="s">
        <v>17</v>
      </c>
      <c r="D690" s="5" t="s">
        <v>18</v>
      </c>
      <c r="E690" s="5" t="s">
        <v>654</v>
      </c>
      <c r="F690" s="9">
        <v>94</v>
      </c>
      <c r="G690" s="9">
        <v>1093</v>
      </c>
      <c r="H690" s="5" t="s">
        <v>20</v>
      </c>
      <c r="I690" s="5" t="s">
        <v>1783</v>
      </c>
      <c r="J690" s="12" t="str">
        <f>HYPERLINK("https://www.boe.es/gazeta/dias/1807/10/20/pdfs/GMD-1807-94.pdf#page=9","Abrir facsímil")</f>
        <v>Abrir facsímil</v>
      </c>
      <c r="K690" s="15" t="s">
        <v>22</v>
      </c>
    </row>
    <row r="691" spans="1:11" ht="42" customHeight="1">
      <c r="A691" s="4" t="s">
        <v>1784</v>
      </c>
      <c r="B691" s="5" t="s">
        <v>1785</v>
      </c>
      <c r="C691" s="5" t="s">
        <v>17</v>
      </c>
      <c r="D691" s="5" t="s">
        <v>18</v>
      </c>
      <c r="E691" s="5" t="s">
        <v>346</v>
      </c>
      <c r="F691" s="9">
        <v>21</v>
      </c>
      <c r="G691" s="9">
        <v>244</v>
      </c>
      <c r="H691" s="5" t="s">
        <v>20</v>
      </c>
      <c r="I691" s="5" t="s">
        <v>1786</v>
      </c>
      <c r="J691" s="12" t="str">
        <f>HYPERLINK("https://www.boe.es/gazeta/dias/1807/03/03/pdfs/GMD-1807-21.pdf#page=8","Abrir facsímil")</f>
        <v>Abrir facsímil</v>
      </c>
      <c r="K691" s="15" t="s">
        <v>22</v>
      </c>
    </row>
    <row r="692" spans="1:11" ht="42" customHeight="1">
      <c r="A692" s="4" t="s">
        <v>1787</v>
      </c>
      <c r="B692" s="5" t="s">
        <v>1788</v>
      </c>
      <c r="C692" s="5" t="s">
        <v>34</v>
      </c>
      <c r="D692" s="5" t="s">
        <v>35</v>
      </c>
      <c r="E692" s="5" t="s">
        <v>376</v>
      </c>
      <c r="F692" s="9">
        <v>19</v>
      </c>
      <c r="G692" s="9">
        <v>225</v>
      </c>
      <c r="H692" s="5" t="s">
        <v>20</v>
      </c>
      <c r="I692" s="5" t="s">
        <v>1789</v>
      </c>
      <c r="J692" s="12" t="str">
        <f>HYPERLINK("https://www.boe.es/gazeta/dias/1807/02/27/pdfs/GMD-1807-19.pdf#page=9","Abrir facsímil")</f>
        <v>Abrir facsímil</v>
      </c>
      <c r="K692" s="15" t="s">
        <v>22</v>
      </c>
    </row>
    <row r="693" spans="1:11" ht="42" customHeight="1">
      <c r="A693" s="4" t="s">
        <v>1790</v>
      </c>
      <c r="B693" s="5" t="s">
        <v>1790</v>
      </c>
      <c r="C693" s="5" t="s">
        <v>49</v>
      </c>
      <c r="D693" s="5" t="s">
        <v>50</v>
      </c>
      <c r="E693" s="5" t="s">
        <v>123</v>
      </c>
      <c r="F693" s="9">
        <v>70</v>
      </c>
      <c r="G693" s="9">
        <v>804</v>
      </c>
      <c r="H693" s="5" t="s">
        <v>20</v>
      </c>
      <c r="I693" s="5" t="s">
        <v>1791</v>
      </c>
      <c r="J693" s="12" t="str">
        <f>HYPERLINK("https://www.boe.es/gazeta/dias/1807/08/04/pdfs/GMD-1807-70.pdf#page=8","Abrir facsímil")</f>
        <v>Abrir facsímil</v>
      </c>
      <c r="K693" s="15" t="s">
        <v>22</v>
      </c>
    </row>
    <row r="694" spans="1:11" ht="42" customHeight="1">
      <c r="A694" s="4" t="s">
        <v>1792</v>
      </c>
      <c r="B694" s="5" t="s">
        <v>1793</v>
      </c>
      <c r="C694" s="5" t="s">
        <v>34</v>
      </c>
      <c r="D694" s="5" t="s">
        <v>35</v>
      </c>
      <c r="E694" s="5" t="s">
        <v>183</v>
      </c>
      <c r="F694" s="9">
        <v>1</v>
      </c>
      <c r="G694" s="9">
        <v>10</v>
      </c>
      <c r="H694" s="5" t="s">
        <v>20</v>
      </c>
      <c r="I694" s="5" t="s">
        <v>1794</v>
      </c>
      <c r="J694" s="12" t="str">
        <f>HYPERLINK("https://www.boe.es/gazeta/dias/1807/01/02/pdfs/GMD-1807-1.pdf#page=10","Abrir facsímil")</f>
        <v>Abrir facsímil</v>
      </c>
      <c r="K694" s="15" t="s">
        <v>22</v>
      </c>
    </row>
    <row r="695" spans="1:11" ht="42" customHeight="1">
      <c r="A695" s="4" t="s">
        <v>1795</v>
      </c>
      <c r="B695" s="5" t="s">
        <v>1796</v>
      </c>
      <c r="C695" s="5" t="s">
        <v>34</v>
      </c>
      <c r="D695" s="5" t="s">
        <v>35</v>
      </c>
      <c r="E695" s="5" t="s">
        <v>282</v>
      </c>
      <c r="F695" s="9">
        <v>16</v>
      </c>
      <c r="G695" s="9">
        <v>185</v>
      </c>
      <c r="H695" s="5" t="s">
        <v>20</v>
      </c>
      <c r="I695" s="5" t="s">
        <v>1797</v>
      </c>
      <c r="J695" s="12" t="str">
        <f>HYPERLINK("https://www.boe.es/gazeta/dias/1807/02/17/pdfs/GMD-1807-16.pdf#page=9","Abrir facsímil")</f>
        <v>Abrir facsímil</v>
      </c>
      <c r="K695" s="15" t="s">
        <v>22</v>
      </c>
    </row>
    <row r="696" spans="1:11" ht="42" customHeight="1">
      <c r="A696" s="4" t="s">
        <v>1798</v>
      </c>
      <c r="B696" s="5" t="s">
        <v>1799</v>
      </c>
      <c r="C696" s="5" t="s">
        <v>89</v>
      </c>
      <c r="D696" s="5" t="s">
        <v>90</v>
      </c>
      <c r="E696" s="5" t="s">
        <v>120</v>
      </c>
      <c r="F696" s="9">
        <v>10</v>
      </c>
      <c r="G696" s="9">
        <v>116</v>
      </c>
      <c r="H696" s="5" t="s">
        <v>20</v>
      </c>
      <c r="I696" s="5" t="s">
        <v>1800</v>
      </c>
      <c r="J696" s="12" t="str">
        <f>HYPERLINK("https://www.boe.es/gazeta/dias/1807/01/27/pdfs/GMD-1807-10.pdf#page=12","Abrir facsímil")</f>
        <v>Abrir facsímil</v>
      </c>
      <c r="K696" s="15" t="s">
        <v>22</v>
      </c>
    </row>
    <row r="697" spans="1:11" ht="42" customHeight="1">
      <c r="A697" s="4" t="s">
        <v>1801</v>
      </c>
      <c r="B697" s="5" t="s">
        <v>1802</v>
      </c>
      <c r="C697" s="5" t="s">
        <v>17</v>
      </c>
      <c r="D697" s="5" t="s">
        <v>18</v>
      </c>
      <c r="E697" s="5" t="s">
        <v>46</v>
      </c>
      <c r="F697" s="9">
        <v>78</v>
      </c>
      <c r="G697" s="9">
        <v>907</v>
      </c>
      <c r="H697" s="5" t="s">
        <v>20</v>
      </c>
      <c r="I697" s="5" t="s">
        <v>1803</v>
      </c>
      <c r="J697" s="12" t="str">
        <f>HYPERLINK("https://www.boe.es/gazeta/dias/1807/09/01/pdfs/GMD-1807-78.pdf#page=11","Abrir facsímil")</f>
        <v>Abrir facsímil</v>
      </c>
      <c r="K697" s="15" t="s">
        <v>22</v>
      </c>
    </row>
    <row r="698" spans="1:11" ht="42" customHeight="1">
      <c r="A698" s="4" t="s">
        <v>1804</v>
      </c>
      <c r="B698" s="5" t="s">
        <v>1805</v>
      </c>
      <c r="C698" s="5" t="s">
        <v>17</v>
      </c>
      <c r="D698" s="5" t="s">
        <v>18</v>
      </c>
      <c r="E698" s="5" t="s">
        <v>46</v>
      </c>
      <c r="F698" s="9">
        <v>78</v>
      </c>
      <c r="G698" s="9">
        <v>907</v>
      </c>
      <c r="H698" s="5" t="s">
        <v>20</v>
      </c>
      <c r="I698" s="5" t="s">
        <v>1806</v>
      </c>
      <c r="J698" s="12" t="str">
        <f>HYPERLINK("https://www.boe.es/gazeta/dias/1807/09/01/pdfs/GMD-1807-78.pdf#page=11","Abrir facsímil")</f>
        <v>Abrir facsímil</v>
      </c>
      <c r="K698" s="15" t="s">
        <v>22</v>
      </c>
    </row>
    <row r="699" spans="1:11" ht="42" customHeight="1">
      <c r="A699" s="4" t="s">
        <v>1807</v>
      </c>
      <c r="B699" s="5" t="s">
        <v>1808</v>
      </c>
      <c r="C699" s="5" t="s">
        <v>28</v>
      </c>
      <c r="D699" s="5" t="s">
        <v>29</v>
      </c>
      <c r="E699" s="5" t="s">
        <v>426</v>
      </c>
      <c r="F699" s="9">
        <v>93</v>
      </c>
      <c r="G699" s="9">
        <v>1083</v>
      </c>
      <c r="H699" s="5" t="s">
        <v>20</v>
      </c>
      <c r="I699" s="5" t="s">
        <v>1809</v>
      </c>
      <c r="J699" s="12" t="str">
        <f>HYPERLINK("https://www.boe.es/gazeta/dias/1807/10/16/pdfs/GMD-1807-93.pdf#page=11","Abrir facsímil")</f>
        <v>Abrir facsímil</v>
      </c>
      <c r="K699" s="15" t="s">
        <v>22</v>
      </c>
    </row>
    <row r="700" spans="1:11" ht="42" customHeight="1">
      <c r="A700" s="4" t="s">
        <v>1810</v>
      </c>
      <c r="B700" s="5" t="s">
        <v>1810</v>
      </c>
      <c r="C700" s="5" t="s">
        <v>34</v>
      </c>
      <c r="D700" s="5" t="s">
        <v>35</v>
      </c>
      <c r="E700" s="5" t="s">
        <v>152</v>
      </c>
      <c r="F700" s="9">
        <v>61</v>
      </c>
      <c r="G700" s="9">
        <v>720</v>
      </c>
      <c r="H700" s="5" t="s">
        <v>20</v>
      </c>
      <c r="I700" s="5" t="s">
        <v>1811</v>
      </c>
      <c r="J700" s="12" t="str">
        <f>HYPERLINK("https://www.boe.es/gazeta/dias/1807/07/14/pdfs/GMD-1807-61.pdf#page=6","Abrir facsímil")</f>
        <v>Abrir facsímil</v>
      </c>
      <c r="K700" s="15" t="s">
        <v>22</v>
      </c>
    </row>
    <row r="701" spans="1:11" ht="42" customHeight="1">
      <c r="A701" s="4" t="s">
        <v>1812</v>
      </c>
      <c r="B701" s="5" t="s">
        <v>1812</v>
      </c>
      <c r="C701" s="5" t="s">
        <v>49</v>
      </c>
      <c r="D701" s="5" t="s">
        <v>50</v>
      </c>
      <c r="E701" s="5" t="s">
        <v>471</v>
      </c>
      <c r="F701" s="9">
        <v>51</v>
      </c>
      <c r="G701" s="9">
        <v>603</v>
      </c>
      <c r="H701" s="5" t="s">
        <v>20</v>
      </c>
      <c r="I701" s="5" t="s">
        <v>1813</v>
      </c>
      <c r="J701" s="12" t="str">
        <f>HYPERLINK("https://www.boe.es/gazeta/dias/1807/06/16/pdfs/GMD-1807-51.pdf#page=5","Abrir facsímil")</f>
        <v>Abrir facsímil</v>
      </c>
      <c r="K701" s="15" t="s">
        <v>22</v>
      </c>
    </row>
    <row r="702" spans="1:11" ht="42" customHeight="1">
      <c r="A702" s="4" t="s">
        <v>1814</v>
      </c>
      <c r="B702" s="5" t="s">
        <v>1814</v>
      </c>
      <c r="C702" s="5" t="s">
        <v>34</v>
      </c>
      <c r="D702" s="5" t="s">
        <v>35</v>
      </c>
      <c r="E702" s="5" t="s">
        <v>101</v>
      </c>
      <c r="F702" s="9">
        <v>23</v>
      </c>
      <c r="G702" s="9">
        <v>273</v>
      </c>
      <c r="H702" s="5" t="s">
        <v>20</v>
      </c>
      <c r="I702" s="5" t="s">
        <v>1815</v>
      </c>
      <c r="J702" s="12" t="str">
        <f>HYPERLINK("https://www.boe.es/gazeta/dias/1807/03/10/pdfs/GMD-1807-23.pdf#page=13","Abrir facsímil")</f>
        <v>Abrir facsímil</v>
      </c>
      <c r="K702" s="15" t="s">
        <v>22</v>
      </c>
    </row>
    <row r="703" spans="1:11" ht="42" customHeight="1">
      <c r="A703" s="4" t="s">
        <v>1816</v>
      </c>
      <c r="B703" s="5" t="s">
        <v>1817</v>
      </c>
      <c r="C703" s="5" t="s">
        <v>49</v>
      </c>
      <c r="D703" s="5" t="s">
        <v>50</v>
      </c>
      <c r="E703" s="5" t="s">
        <v>259</v>
      </c>
      <c r="F703" s="9">
        <v>3</v>
      </c>
      <c r="G703" s="9">
        <v>22</v>
      </c>
      <c r="H703" s="5" t="s">
        <v>20</v>
      </c>
      <c r="I703" s="5" t="s">
        <v>1818</v>
      </c>
      <c r="J703" s="12" t="str">
        <f>HYPERLINK("https://www.boe.es/gazeta/dias/1807/01/09/pdfs/GMD-1807-3.pdf#page=2","Abrir facsímil")</f>
        <v>Abrir facsímil</v>
      </c>
      <c r="K703" s="15" t="s">
        <v>22</v>
      </c>
    </row>
    <row r="704" spans="1:11" ht="42" customHeight="1">
      <c r="A704" s="4" t="s">
        <v>1816</v>
      </c>
      <c r="B704" s="5" t="s">
        <v>1817</v>
      </c>
      <c r="C704" s="5" t="s">
        <v>28</v>
      </c>
      <c r="D704" s="5" t="s">
        <v>29</v>
      </c>
      <c r="E704" s="5" t="s">
        <v>215</v>
      </c>
      <c r="F704" s="9">
        <v>5</v>
      </c>
      <c r="G704" s="9">
        <v>46</v>
      </c>
      <c r="H704" s="5" t="s">
        <v>20</v>
      </c>
      <c r="I704" s="5" t="s">
        <v>1819</v>
      </c>
      <c r="J704" s="12" t="str">
        <f>HYPERLINK("https://www.boe.es/gazeta/dias/1807/01/16/pdfs/GMD-1807-5.pdf#page=2","Abrir facsímil")</f>
        <v>Abrir facsímil</v>
      </c>
      <c r="K704" s="15" t="s">
        <v>22</v>
      </c>
    </row>
    <row r="705" spans="1:11" ht="42" customHeight="1">
      <c r="A705" s="4" t="s">
        <v>1820</v>
      </c>
      <c r="B705" s="5" t="s">
        <v>1820</v>
      </c>
      <c r="C705" s="5" t="s">
        <v>24</v>
      </c>
      <c r="D705" s="5" t="s">
        <v>18</v>
      </c>
      <c r="E705" s="5" t="s">
        <v>441</v>
      </c>
      <c r="F705" s="9">
        <v>92</v>
      </c>
      <c r="G705" s="9">
        <v>1070</v>
      </c>
      <c r="H705" s="5" t="s">
        <v>20</v>
      </c>
      <c r="I705" s="5" t="s">
        <v>1821</v>
      </c>
      <c r="J705" s="12" t="str">
        <f>HYPERLINK("https://www.boe.es/gazeta/dias/1807/10/13/pdfs/GMD-1807-92.pdf#page=10","Abrir facsímil")</f>
        <v>Abrir facsímil</v>
      </c>
      <c r="K705" s="15" t="s">
        <v>22</v>
      </c>
    </row>
    <row r="706" spans="1:11" ht="42" customHeight="1">
      <c r="A706" s="4" t="s">
        <v>1822</v>
      </c>
      <c r="B706" s="5" t="s">
        <v>1823</v>
      </c>
      <c r="C706" s="5" t="s">
        <v>28</v>
      </c>
      <c r="D706" s="5" t="s">
        <v>29</v>
      </c>
      <c r="E706" s="5" t="s">
        <v>156</v>
      </c>
      <c r="F706" s="9">
        <v>74</v>
      </c>
      <c r="G706" s="9">
        <v>857</v>
      </c>
      <c r="H706" s="5" t="s">
        <v>20</v>
      </c>
      <c r="I706" s="5" t="s">
        <v>1824</v>
      </c>
      <c r="J706" s="12" t="str">
        <f>HYPERLINK("https://www.boe.es/gazeta/dias/1807/08/18/pdfs/GMD-1807-74.pdf#page=9","Abrir facsímil")</f>
        <v>Abrir facsímil</v>
      </c>
      <c r="K706" s="15" t="s">
        <v>22</v>
      </c>
    </row>
    <row r="707" spans="1:11" ht="42" customHeight="1">
      <c r="A707" s="4" t="s">
        <v>1825</v>
      </c>
      <c r="B707" s="5" t="s">
        <v>1825</v>
      </c>
      <c r="C707" s="5" t="s">
        <v>34</v>
      </c>
      <c r="D707" s="5" t="s">
        <v>35</v>
      </c>
      <c r="E707" s="5" t="s">
        <v>321</v>
      </c>
      <c r="F707" s="9">
        <v>75</v>
      </c>
      <c r="G707" s="9">
        <v>867</v>
      </c>
      <c r="H707" s="5" t="s">
        <v>20</v>
      </c>
      <c r="I707" s="5" t="s">
        <v>1826</v>
      </c>
      <c r="J707" s="12" t="str">
        <f>HYPERLINK("https://www.boe.es/gazeta/dias/1807/08/21/pdfs/GMD-1807-75.pdf#page=7","Abrir facsímil")</f>
        <v>Abrir facsímil</v>
      </c>
      <c r="K707" s="15" t="s">
        <v>22</v>
      </c>
    </row>
    <row r="708" spans="1:11" ht="42" customHeight="1">
      <c r="A708" s="4" t="s">
        <v>1827</v>
      </c>
      <c r="B708" s="5" t="s">
        <v>1827</v>
      </c>
      <c r="C708" s="5" t="s">
        <v>28</v>
      </c>
      <c r="D708" s="5" t="s">
        <v>29</v>
      </c>
      <c r="E708" s="5" t="s">
        <v>36</v>
      </c>
      <c r="F708" s="9">
        <v>36</v>
      </c>
      <c r="G708" s="9">
        <v>430</v>
      </c>
      <c r="H708" s="5" t="s">
        <v>20</v>
      </c>
      <c r="I708" s="5" t="s">
        <v>1828</v>
      </c>
      <c r="J708" s="12" t="str">
        <f>HYPERLINK("https://www.boe.es/gazeta/dias/1807/04/24/pdfs/GMD-1807-36.pdf#page=10","Abrir facsímil")</f>
        <v>Abrir facsímil</v>
      </c>
      <c r="K708" s="15" t="s">
        <v>22</v>
      </c>
    </row>
    <row r="709" spans="1:11" ht="42" customHeight="1">
      <c r="A709" s="4" t="s">
        <v>1829</v>
      </c>
      <c r="B709" s="5" t="s">
        <v>1829</v>
      </c>
      <c r="C709" s="5" t="s">
        <v>34</v>
      </c>
      <c r="D709" s="5" t="s">
        <v>35</v>
      </c>
      <c r="E709" s="5" t="s">
        <v>40</v>
      </c>
      <c r="F709" s="9">
        <v>26</v>
      </c>
      <c r="G709" s="9">
        <v>313</v>
      </c>
      <c r="H709" s="5" t="s">
        <v>20</v>
      </c>
      <c r="I709" s="5" t="s">
        <v>1830</v>
      </c>
      <c r="J709" s="12" t="str">
        <f>HYPERLINK("https://www.boe.es/gazeta/dias/1807/03/20/pdfs/GMD-1807-26.pdf#page=9","Abrir facsímil")</f>
        <v>Abrir facsímil</v>
      </c>
      <c r="K709" s="15" t="s">
        <v>22</v>
      </c>
    </row>
    <row r="710" spans="1:11" ht="42" customHeight="1">
      <c r="A710" s="4" t="s">
        <v>1831</v>
      </c>
      <c r="B710" s="5" t="s">
        <v>1831</v>
      </c>
      <c r="C710" s="5" t="s">
        <v>28</v>
      </c>
      <c r="D710" s="5" t="s">
        <v>29</v>
      </c>
      <c r="E710" s="5" t="s">
        <v>156</v>
      </c>
      <c r="F710" s="9">
        <v>74</v>
      </c>
      <c r="G710" s="9">
        <v>855</v>
      </c>
      <c r="H710" s="5" t="s">
        <v>20</v>
      </c>
      <c r="I710" s="5" t="s">
        <v>1832</v>
      </c>
      <c r="J710" s="12" t="str">
        <f>HYPERLINK("https://www.boe.es/gazeta/dias/1807/08/18/pdfs/GMD-1807-74.pdf#page=7","Abrir facsímil")</f>
        <v>Abrir facsímil</v>
      </c>
      <c r="K710" s="15" t="s">
        <v>22</v>
      </c>
    </row>
    <row r="711" spans="1:11" ht="42" customHeight="1">
      <c r="A711" s="4" t="s">
        <v>1833</v>
      </c>
      <c r="B711" s="5" t="s">
        <v>1833</v>
      </c>
      <c r="C711" s="5" t="s">
        <v>28</v>
      </c>
      <c r="D711" s="5" t="s">
        <v>29</v>
      </c>
      <c r="E711" s="5" t="s">
        <v>156</v>
      </c>
      <c r="F711" s="9">
        <v>74</v>
      </c>
      <c r="G711" s="9">
        <v>856</v>
      </c>
      <c r="H711" s="5" t="s">
        <v>20</v>
      </c>
      <c r="I711" s="5" t="s">
        <v>1834</v>
      </c>
      <c r="J711" s="12" t="str">
        <f>HYPERLINK("https://www.boe.es/gazeta/dias/1807/08/18/pdfs/GMD-1807-74.pdf#page=8","Abrir facsímil")</f>
        <v>Abrir facsímil</v>
      </c>
      <c r="K711" s="15" t="s">
        <v>22</v>
      </c>
    </row>
    <row r="712" spans="1:11" ht="42" customHeight="1">
      <c r="A712" s="4" t="s">
        <v>1835</v>
      </c>
      <c r="B712" s="5" t="s">
        <v>1835</v>
      </c>
      <c r="C712" s="5" t="s">
        <v>89</v>
      </c>
      <c r="D712" s="5" t="s">
        <v>90</v>
      </c>
      <c r="E712" s="5" t="s">
        <v>376</v>
      </c>
      <c r="F712" s="9">
        <v>19</v>
      </c>
      <c r="G712" s="9">
        <v>228</v>
      </c>
      <c r="H712" s="5" t="s">
        <v>20</v>
      </c>
      <c r="I712" s="5" t="s">
        <v>1836</v>
      </c>
      <c r="J712" s="12" t="str">
        <f>HYPERLINK("https://www.boe.es/gazeta/dias/1807/02/27/pdfs/GMD-1807-19.pdf#page=12","Abrir facsímil")</f>
        <v>Abrir facsímil</v>
      </c>
      <c r="K712" s="15" t="s">
        <v>22</v>
      </c>
    </row>
    <row r="713" spans="1:11" ht="42" customHeight="1">
      <c r="A713" s="4" t="s">
        <v>1837</v>
      </c>
      <c r="B713" s="5" t="s">
        <v>1838</v>
      </c>
      <c r="C713" s="5" t="s">
        <v>69</v>
      </c>
      <c r="D713" s="5" t="s">
        <v>70</v>
      </c>
      <c r="E713" s="5" t="s">
        <v>71</v>
      </c>
      <c r="F713" s="9">
        <v>35</v>
      </c>
      <c r="G713" s="9" t="s">
        <v>197</v>
      </c>
      <c r="H713" s="5" t="s">
        <v>20</v>
      </c>
      <c r="I713" s="5" t="s">
        <v>1839</v>
      </c>
      <c r="J713" s="12" t="str">
        <f>HYPERLINK("https://www.boe.es/gazeta/dias/1807/04/21/pdfs/C00001-00004.pdf#page=3","Abrir facsímil")</f>
        <v>Abrir facsímil</v>
      </c>
      <c r="K713" s="15" t="s">
        <v>22</v>
      </c>
    </row>
    <row r="714" spans="1:11" ht="42" customHeight="1">
      <c r="A714" s="4" t="s">
        <v>1840</v>
      </c>
      <c r="B714" s="5" t="s">
        <v>1841</v>
      </c>
      <c r="C714" s="5" t="s">
        <v>69</v>
      </c>
      <c r="D714" s="5" t="s">
        <v>70</v>
      </c>
      <c r="E714" s="5" t="s">
        <v>71</v>
      </c>
      <c r="F714" s="9">
        <v>35</v>
      </c>
      <c r="G714" s="9" t="s">
        <v>197</v>
      </c>
      <c r="H714" s="5" t="s">
        <v>20</v>
      </c>
      <c r="I714" s="5" t="s">
        <v>1842</v>
      </c>
      <c r="J714" s="12" t="str">
        <f>HYPERLINK("https://www.boe.es/gazeta/dias/1807/04/21/pdfs/C00001-00004.pdf#page=3","Abrir facsímil")</f>
        <v>Abrir facsímil</v>
      </c>
      <c r="K714" s="15" t="s">
        <v>22</v>
      </c>
    </row>
    <row r="715" spans="1:11" ht="42" customHeight="1">
      <c r="A715" s="4" t="s">
        <v>1843</v>
      </c>
      <c r="B715" s="5" t="s">
        <v>1844</v>
      </c>
      <c r="C715" s="5" t="s">
        <v>28</v>
      </c>
      <c r="D715" s="5" t="s">
        <v>29</v>
      </c>
      <c r="E715" s="5" t="s">
        <v>321</v>
      </c>
      <c r="F715" s="9">
        <v>75</v>
      </c>
      <c r="G715" s="9">
        <v>869</v>
      </c>
      <c r="H715" s="5" t="s">
        <v>20</v>
      </c>
      <c r="I715" s="5" t="s">
        <v>1845</v>
      </c>
      <c r="J715" s="12" t="str">
        <f>HYPERLINK("https://www.boe.es/gazeta/dias/1807/08/21/pdfs/GMD-1807-75.pdf#page=9","Abrir facsímil")</f>
        <v>Abrir facsímil</v>
      </c>
      <c r="K715" s="15" t="s">
        <v>22</v>
      </c>
    </row>
    <row r="716" spans="1:11" ht="42" customHeight="1">
      <c r="A716" s="4" t="s">
        <v>1843</v>
      </c>
      <c r="B716" s="5" t="s">
        <v>1844</v>
      </c>
      <c r="C716" s="5" t="s">
        <v>28</v>
      </c>
      <c r="D716" s="5" t="s">
        <v>29</v>
      </c>
      <c r="E716" s="5" t="s">
        <v>167</v>
      </c>
      <c r="F716" s="9">
        <v>77</v>
      </c>
      <c r="G716" s="9">
        <v>892</v>
      </c>
      <c r="H716" s="5" t="s">
        <v>20</v>
      </c>
      <c r="I716" s="5" t="s">
        <v>1846</v>
      </c>
      <c r="J716" s="12" t="str">
        <f>HYPERLINK("https://www.boe.es/gazeta/dias/1807/08/28/pdfs/GMD-1807-77.pdf#page=8","Abrir facsímil")</f>
        <v>Abrir facsímil</v>
      </c>
      <c r="K716" s="15" t="s">
        <v>22</v>
      </c>
    </row>
    <row r="717" spans="1:11" ht="42" customHeight="1">
      <c r="A717" s="4" t="s">
        <v>1843</v>
      </c>
      <c r="B717" s="5" t="s">
        <v>1844</v>
      </c>
      <c r="C717" s="5" t="s">
        <v>28</v>
      </c>
      <c r="D717" s="5" t="s">
        <v>29</v>
      </c>
      <c r="E717" s="5" t="s">
        <v>167</v>
      </c>
      <c r="F717" s="9">
        <v>77</v>
      </c>
      <c r="G717" s="9">
        <v>893</v>
      </c>
      <c r="H717" s="5" t="s">
        <v>20</v>
      </c>
      <c r="I717" s="5" t="s">
        <v>1847</v>
      </c>
      <c r="J717" s="12" t="str">
        <f>HYPERLINK("https://www.boe.es/gazeta/dias/1807/08/28/pdfs/GMD-1807-77.pdf#page=9","Abrir facsímil")</f>
        <v>Abrir facsímil</v>
      </c>
      <c r="K717" s="15" t="s">
        <v>22</v>
      </c>
    </row>
    <row r="718" spans="1:11" ht="42" customHeight="1">
      <c r="A718" s="4" t="s">
        <v>1848</v>
      </c>
      <c r="B718" s="5" t="s">
        <v>1848</v>
      </c>
      <c r="C718" s="5" t="s">
        <v>49</v>
      </c>
      <c r="D718" s="5" t="s">
        <v>50</v>
      </c>
      <c r="E718" s="5" t="s">
        <v>321</v>
      </c>
      <c r="F718" s="9">
        <v>75</v>
      </c>
      <c r="G718" s="9">
        <v>866</v>
      </c>
      <c r="H718" s="5" t="s">
        <v>20</v>
      </c>
      <c r="I718" s="5" t="s">
        <v>1849</v>
      </c>
      <c r="J718" s="12" t="str">
        <f>HYPERLINK("https://www.boe.es/gazeta/dias/1807/08/21/pdfs/GMD-1807-75.pdf#page=6","Abrir facsímil")</f>
        <v>Abrir facsímil</v>
      </c>
      <c r="K718" s="15" t="s">
        <v>22</v>
      </c>
    </row>
    <row r="719" spans="1:11" ht="42" customHeight="1">
      <c r="A719" s="4" t="s">
        <v>1850</v>
      </c>
      <c r="B719" s="5" t="s">
        <v>1850</v>
      </c>
      <c r="C719" s="5" t="s">
        <v>89</v>
      </c>
      <c r="D719" s="5" t="s">
        <v>90</v>
      </c>
      <c r="E719" s="5" t="s">
        <v>104</v>
      </c>
      <c r="F719" s="9">
        <v>25</v>
      </c>
      <c r="G719" s="9">
        <v>304</v>
      </c>
      <c r="H719" s="5" t="s">
        <v>20</v>
      </c>
      <c r="I719" s="5" t="s">
        <v>1851</v>
      </c>
      <c r="J719" s="12" t="str">
        <f>HYPERLINK("https://www.boe.es/gazeta/dias/1807/03/17/pdfs/GMD-1807-25.pdf#page=12","Abrir facsímil")</f>
        <v>Abrir facsímil</v>
      </c>
      <c r="K719" s="15" t="s">
        <v>22</v>
      </c>
    </row>
    <row r="720" spans="1:11" ht="42" customHeight="1">
      <c r="A720" s="4" t="s">
        <v>1852</v>
      </c>
      <c r="B720" s="5" t="s">
        <v>1852</v>
      </c>
      <c r="C720" s="5" t="s">
        <v>49</v>
      </c>
      <c r="D720" s="5" t="s">
        <v>50</v>
      </c>
      <c r="E720" s="5" t="s">
        <v>123</v>
      </c>
      <c r="F720" s="9">
        <v>70</v>
      </c>
      <c r="G720" s="9">
        <v>799</v>
      </c>
      <c r="H720" s="5" t="s">
        <v>20</v>
      </c>
      <c r="I720" s="5" t="s">
        <v>1853</v>
      </c>
      <c r="J720" s="12" t="str">
        <f>HYPERLINK("https://www.boe.es/gazeta/dias/1807/08/04/pdfs/GMD-1807-70.pdf#page=3","Abrir facsímil")</f>
        <v>Abrir facsímil</v>
      </c>
      <c r="K720" s="15" t="s">
        <v>22</v>
      </c>
    </row>
    <row r="721" spans="1:11" ht="42" customHeight="1">
      <c r="A721" s="4" t="s">
        <v>1852</v>
      </c>
      <c r="B721" s="5" t="s">
        <v>1852</v>
      </c>
      <c r="C721" s="5" t="s">
        <v>49</v>
      </c>
      <c r="D721" s="5" t="s">
        <v>50</v>
      </c>
      <c r="E721" s="5" t="s">
        <v>123</v>
      </c>
      <c r="F721" s="9">
        <v>70</v>
      </c>
      <c r="G721" s="9">
        <v>801</v>
      </c>
      <c r="H721" s="5" t="s">
        <v>20</v>
      </c>
      <c r="I721" s="5" t="s">
        <v>1854</v>
      </c>
      <c r="J721" s="12" t="str">
        <f>HYPERLINK("https://www.boe.es/gazeta/dias/1807/08/04/pdfs/GMD-1807-70.pdf#page=5","Abrir facsímil")</f>
        <v>Abrir facsímil</v>
      </c>
      <c r="K721" s="15" t="s">
        <v>22</v>
      </c>
    </row>
    <row r="722" spans="1:11" ht="42" customHeight="1">
      <c r="A722" s="4" t="s">
        <v>1855</v>
      </c>
      <c r="B722" s="5" t="s">
        <v>1856</v>
      </c>
      <c r="C722" s="5" t="s">
        <v>49</v>
      </c>
      <c r="D722" s="5" t="s">
        <v>50</v>
      </c>
      <c r="E722" s="5" t="s">
        <v>123</v>
      </c>
      <c r="F722" s="9">
        <v>70</v>
      </c>
      <c r="G722" s="9">
        <v>801</v>
      </c>
      <c r="H722" s="5" t="s">
        <v>20</v>
      </c>
      <c r="I722" s="5" t="s">
        <v>1857</v>
      </c>
      <c r="J722" s="12" t="str">
        <f>HYPERLINK("https://www.boe.es/gazeta/dias/1807/08/04/pdfs/GMD-1807-70.pdf#page=5","Abrir facsímil")</f>
        <v>Abrir facsímil</v>
      </c>
      <c r="K722" s="15" t="s">
        <v>22</v>
      </c>
    </row>
    <row r="723" spans="1:11" ht="42" customHeight="1">
      <c r="A723" s="4" t="s">
        <v>1855</v>
      </c>
      <c r="B723" s="5" t="s">
        <v>1856</v>
      </c>
      <c r="C723" s="5" t="s">
        <v>24</v>
      </c>
      <c r="D723" s="5" t="s">
        <v>18</v>
      </c>
      <c r="E723" s="5" t="s">
        <v>221</v>
      </c>
      <c r="F723" s="9">
        <v>73</v>
      </c>
      <c r="G723" s="9">
        <v>840</v>
      </c>
      <c r="H723" s="5" t="s">
        <v>20</v>
      </c>
      <c r="I723" s="5" t="s">
        <v>1858</v>
      </c>
      <c r="J723" s="12" t="str">
        <f>HYPERLINK("https://www.boe.es/gazeta/dias/1807/08/14/pdfs/GMD-1807-73.pdf#page=4","Abrir facsímil")</f>
        <v>Abrir facsímil</v>
      </c>
      <c r="K723" s="15" t="s">
        <v>22</v>
      </c>
    </row>
    <row r="724" spans="1:11" ht="42" customHeight="1">
      <c r="A724" s="4" t="s">
        <v>1859</v>
      </c>
      <c r="B724" s="5" t="s">
        <v>1860</v>
      </c>
      <c r="C724" s="5" t="s">
        <v>49</v>
      </c>
      <c r="D724" s="5" t="s">
        <v>50</v>
      </c>
      <c r="E724" s="5" t="s">
        <v>221</v>
      </c>
      <c r="F724" s="9">
        <v>73</v>
      </c>
      <c r="G724" s="9">
        <v>839</v>
      </c>
      <c r="H724" s="5" t="s">
        <v>20</v>
      </c>
      <c r="I724" s="5" t="s">
        <v>1861</v>
      </c>
      <c r="J724" s="12" t="str">
        <f>HYPERLINK("https://www.boe.es/gazeta/dias/1807/08/14/pdfs/GMD-1807-73.pdf#page=3","Abrir facsímil")</f>
        <v>Abrir facsímil</v>
      </c>
      <c r="K724" s="15" t="s">
        <v>22</v>
      </c>
    </row>
    <row r="725" spans="1:11" ht="42" customHeight="1">
      <c r="A725" s="4" t="s">
        <v>1862</v>
      </c>
      <c r="B725" s="5" t="s">
        <v>1863</v>
      </c>
      <c r="C725" s="5" t="s">
        <v>28</v>
      </c>
      <c r="D725" s="5" t="s">
        <v>29</v>
      </c>
      <c r="E725" s="5" t="s">
        <v>418</v>
      </c>
      <c r="F725" s="9">
        <v>4</v>
      </c>
      <c r="G725" s="9">
        <v>38</v>
      </c>
      <c r="H725" s="5" t="s">
        <v>20</v>
      </c>
      <c r="I725" s="5" t="s">
        <v>1864</v>
      </c>
      <c r="J725" s="12" t="str">
        <f>HYPERLINK("https://www.boe.es/gazeta/dias/1807/01/13/pdfs/GMD-1807-4.pdf#page=6","Abrir facsímil")</f>
        <v>Abrir facsímil</v>
      </c>
      <c r="K725" s="15" t="s">
        <v>22</v>
      </c>
    </row>
    <row r="726" spans="1:11" ht="42" customHeight="1">
      <c r="A726" s="4" t="s">
        <v>1865</v>
      </c>
      <c r="B726" s="5" t="s">
        <v>1866</v>
      </c>
      <c r="C726" s="5" t="s">
        <v>34</v>
      </c>
      <c r="D726" s="5" t="s">
        <v>35</v>
      </c>
      <c r="E726" s="5" t="s">
        <v>319</v>
      </c>
      <c r="F726" s="9">
        <v>54</v>
      </c>
      <c r="G726" s="9">
        <v>645</v>
      </c>
      <c r="H726" s="5" t="s">
        <v>20</v>
      </c>
      <c r="I726" s="5" t="s">
        <v>1867</v>
      </c>
      <c r="J726" s="12" t="str">
        <f>HYPERLINK("https://www.boe.es/gazeta/dias/1807/06/26/pdfs/GMD-1807-54.pdf#page=7","Abrir facsímil")</f>
        <v>Abrir facsímil</v>
      </c>
      <c r="K726" s="15" t="s">
        <v>22</v>
      </c>
    </row>
    <row r="727" spans="1:11" ht="42" customHeight="1">
      <c r="A727" s="4" t="s">
        <v>1868</v>
      </c>
      <c r="B727" s="5" t="s">
        <v>1869</v>
      </c>
      <c r="C727" s="5" t="s">
        <v>17</v>
      </c>
      <c r="D727" s="5" t="s">
        <v>18</v>
      </c>
      <c r="E727" s="5" t="s">
        <v>46</v>
      </c>
      <c r="F727" s="9">
        <v>78</v>
      </c>
      <c r="G727" s="9">
        <v>905</v>
      </c>
      <c r="H727" s="5" t="s">
        <v>20</v>
      </c>
      <c r="I727" s="5" t="s">
        <v>1870</v>
      </c>
      <c r="J727" s="12" t="str">
        <f>HYPERLINK("https://www.boe.es/gazeta/dias/1807/09/01/pdfs/GMD-1807-78.pdf#page=9","Abrir facsímil")</f>
        <v>Abrir facsímil</v>
      </c>
      <c r="K727" s="15" t="s">
        <v>22</v>
      </c>
    </row>
    <row r="728" spans="1:11" ht="42" customHeight="1">
      <c r="A728" s="4" t="s">
        <v>1871</v>
      </c>
      <c r="B728" s="5" t="s">
        <v>1872</v>
      </c>
      <c r="C728" s="5" t="s">
        <v>34</v>
      </c>
      <c r="D728" s="5" t="s">
        <v>35</v>
      </c>
      <c r="E728" s="5" t="s">
        <v>104</v>
      </c>
      <c r="F728" s="9">
        <v>25</v>
      </c>
      <c r="G728" s="9">
        <v>303</v>
      </c>
      <c r="H728" s="5" t="s">
        <v>20</v>
      </c>
      <c r="I728" s="5" t="s">
        <v>1873</v>
      </c>
      <c r="J728" s="12" t="str">
        <f>HYPERLINK("https://www.boe.es/gazeta/dias/1807/03/17/pdfs/GMD-1807-25.pdf#page=11","Abrir facsímil")</f>
        <v>Abrir facsímil</v>
      </c>
      <c r="K728" s="15" t="s">
        <v>22</v>
      </c>
    </row>
    <row r="729" spans="1:11" ht="42" customHeight="1">
      <c r="A729" s="4" t="s">
        <v>1871</v>
      </c>
      <c r="B729" s="5" t="s">
        <v>1872</v>
      </c>
      <c r="C729" s="5" t="s">
        <v>34</v>
      </c>
      <c r="D729" s="5" t="s">
        <v>35</v>
      </c>
      <c r="E729" s="5" t="s">
        <v>530</v>
      </c>
      <c r="F729" s="9">
        <v>79</v>
      </c>
      <c r="G729" s="9">
        <v>924</v>
      </c>
      <c r="H729" s="5" t="s">
        <v>20</v>
      </c>
      <c r="I729" s="5" t="s">
        <v>1874</v>
      </c>
      <c r="J729" s="12" t="str">
        <f>HYPERLINK("https://www.boe.es/gazeta/dias/1807/09/04/pdfs/GMD-1807-79.pdf#page=16","Abrir facsímil")</f>
        <v>Abrir facsímil</v>
      </c>
      <c r="K729" s="15" t="s">
        <v>22</v>
      </c>
    </row>
    <row r="730" spans="1:11" ht="42" customHeight="1">
      <c r="A730" s="4" t="s">
        <v>1871</v>
      </c>
      <c r="B730" s="5" t="s">
        <v>1872</v>
      </c>
      <c r="C730" s="5" t="s">
        <v>34</v>
      </c>
      <c r="D730" s="5" t="s">
        <v>35</v>
      </c>
      <c r="E730" s="5" t="s">
        <v>1177</v>
      </c>
      <c r="F730" s="9">
        <v>101</v>
      </c>
      <c r="G730" s="9">
        <v>1179</v>
      </c>
      <c r="H730" s="5" t="s">
        <v>20</v>
      </c>
      <c r="I730" s="5" t="s">
        <v>1875</v>
      </c>
      <c r="J730" s="12" t="str">
        <f>HYPERLINK("https://www.boe.es/gazeta/dias/1807/11/13/pdfs/GMD-1807-101.pdf#page=11","Abrir facsímil")</f>
        <v>Abrir facsímil</v>
      </c>
      <c r="K730" s="15" t="s">
        <v>22</v>
      </c>
    </row>
    <row r="731" spans="1:11" ht="42" customHeight="1">
      <c r="A731" s="4" t="s">
        <v>1876</v>
      </c>
      <c r="B731" s="5" t="s">
        <v>1877</v>
      </c>
      <c r="C731" s="5" t="s">
        <v>34</v>
      </c>
      <c r="D731" s="5" t="s">
        <v>35</v>
      </c>
      <c r="E731" s="5" t="s">
        <v>36</v>
      </c>
      <c r="F731" s="9">
        <v>36</v>
      </c>
      <c r="G731" s="9">
        <v>430</v>
      </c>
      <c r="H731" s="5" t="s">
        <v>20</v>
      </c>
      <c r="I731" s="5" t="s">
        <v>1878</v>
      </c>
      <c r="J731" s="12" t="str">
        <f>HYPERLINK("https://www.boe.es/gazeta/dias/1807/04/24/pdfs/GMD-1807-36.pdf#page=10","Abrir facsímil")</f>
        <v>Abrir facsímil</v>
      </c>
      <c r="K731" s="15" t="s">
        <v>22</v>
      </c>
    </row>
    <row r="732" spans="1:11" ht="42" customHeight="1">
      <c r="A732" s="4" t="s">
        <v>1879</v>
      </c>
      <c r="B732" s="5" t="s">
        <v>1880</v>
      </c>
      <c r="C732" s="5" t="s">
        <v>89</v>
      </c>
      <c r="D732" s="5" t="s">
        <v>90</v>
      </c>
      <c r="E732" s="5" t="s">
        <v>507</v>
      </c>
      <c r="F732" s="9">
        <v>48</v>
      </c>
      <c r="G732" s="9">
        <v>573</v>
      </c>
      <c r="H732" s="5" t="s">
        <v>20</v>
      </c>
      <c r="I732" s="5" t="s">
        <v>1881</v>
      </c>
      <c r="J732" s="12" t="str">
        <f>HYPERLINK("https://www.boe.es/gazeta/dias/1807/06/05/pdfs/GMD-1807-48.pdf#page=11","Abrir facsímil")</f>
        <v>Abrir facsímil</v>
      </c>
      <c r="K732" s="15" t="s">
        <v>22</v>
      </c>
    </row>
    <row r="733" spans="1:11" ht="42" customHeight="1">
      <c r="A733" s="4" t="s">
        <v>1882</v>
      </c>
      <c r="B733" s="5" t="s">
        <v>1883</v>
      </c>
      <c r="C733" s="5" t="s">
        <v>49</v>
      </c>
      <c r="D733" s="5" t="s">
        <v>50</v>
      </c>
      <c r="E733" s="5" t="s">
        <v>572</v>
      </c>
      <c r="F733" s="9">
        <v>14</v>
      </c>
      <c r="G733" s="9">
        <v>154</v>
      </c>
      <c r="H733" s="5" t="s">
        <v>20</v>
      </c>
      <c r="I733" s="5" t="s">
        <v>1884</v>
      </c>
      <c r="J733" s="12" t="str">
        <f>HYPERLINK("https://www.boe.es/gazeta/dias/1807/02/10/pdfs/GMD-1807-14.pdf#page=2","Abrir facsímil")</f>
        <v>Abrir facsímil</v>
      </c>
      <c r="K733" s="15" t="s">
        <v>22</v>
      </c>
    </row>
    <row r="734" spans="1:11" ht="42" customHeight="1">
      <c r="A734" s="4" t="s">
        <v>1885</v>
      </c>
      <c r="B734" s="5" t="s">
        <v>1886</v>
      </c>
      <c r="C734" s="5" t="s">
        <v>49</v>
      </c>
      <c r="D734" s="5" t="s">
        <v>50</v>
      </c>
      <c r="E734" s="5" t="s">
        <v>270</v>
      </c>
      <c r="F734" s="9">
        <v>8</v>
      </c>
      <c r="G734" s="9">
        <v>89</v>
      </c>
      <c r="H734" s="5" t="s">
        <v>20</v>
      </c>
      <c r="I734" s="5" t="s">
        <v>1887</v>
      </c>
      <c r="J734" s="12" t="str">
        <f>HYPERLINK("https://www.boe.es/gazeta/dias/1807/01/23/pdfs/GMD-1807-8.pdf#page=5","Abrir facsímil")</f>
        <v>Abrir facsímil</v>
      </c>
      <c r="K734" s="15" t="s">
        <v>22</v>
      </c>
    </row>
    <row r="735" spans="1:11" ht="42" customHeight="1">
      <c r="A735" s="4" t="s">
        <v>1888</v>
      </c>
      <c r="B735" s="5" t="s">
        <v>1889</v>
      </c>
      <c r="C735" s="5" t="s">
        <v>49</v>
      </c>
      <c r="D735" s="5" t="s">
        <v>50</v>
      </c>
      <c r="E735" s="5" t="s">
        <v>186</v>
      </c>
      <c r="F735" s="9">
        <v>72</v>
      </c>
      <c r="G735" s="9">
        <v>824</v>
      </c>
      <c r="H735" s="5" t="s">
        <v>20</v>
      </c>
      <c r="I735" s="5" t="s">
        <v>1890</v>
      </c>
      <c r="J735" s="12" t="str">
        <f>HYPERLINK("https://www.boe.es/gazeta/dias/1807/08/11/pdfs/GMD-1807-72.pdf#page=4","Abrir facsímil")</f>
        <v>Abrir facsímil</v>
      </c>
      <c r="K735" s="15" t="s">
        <v>22</v>
      </c>
    </row>
    <row r="736" spans="1:11" ht="42" customHeight="1">
      <c r="A736" s="4" t="s">
        <v>1891</v>
      </c>
      <c r="B736" s="5" t="s">
        <v>1892</v>
      </c>
      <c r="C736" s="5" t="s">
        <v>17</v>
      </c>
      <c r="D736" s="5" t="s">
        <v>18</v>
      </c>
      <c r="E736" s="5" t="s">
        <v>686</v>
      </c>
      <c r="F736" s="9">
        <v>106</v>
      </c>
      <c r="G736" s="9">
        <v>1233</v>
      </c>
      <c r="H736" s="5" t="s">
        <v>20</v>
      </c>
      <c r="I736" s="5" t="s">
        <v>1893</v>
      </c>
      <c r="J736" s="12" t="str">
        <f>HYPERLINK("https://www.boe.es/gazeta/dias/1807/11/27/pdfs/GMD-1807-106.pdf#page=5","Abrir facsímil")</f>
        <v>Abrir facsímil</v>
      </c>
      <c r="K736" s="15" t="s">
        <v>22</v>
      </c>
    </row>
    <row r="737" spans="1:11" ht="42" customHeight="1">
      <c r="A737" s="4" t="s">
        <v>1894</v>
      </c>
      <c r="B737" s="5" t="s">
        <v>1895</v>
      </c>
      <c r="C737" s="5" t="s">
        <v>89</v>
      </c>
      <c r="D737" s="5" t="s">
        <v>90</v>
      </c>
      <c r="E737" s="5" t="s">
        <v>309</v>
      </c>
      <c r="F737" s="9">
        <v>107</v>
      </c>
      <c r="G737" s="9">
        <v>1250</v>
      </c>
      <c r="H737" s="5" t="s">
        <v>20</v>
      </c>
      <c r="I737" s="5" t="s">
        <v>1896</v>
      </c>
      <c r="J737" s="12" t="str">
        <f>HYPERLINK("https://www.boe.es/gazeta/dias/1807/12/01/pdfs/GMD-1807-107.pdf#page=10","Abrir facsímil")</f>
        <v>Abrir facsímil</v>
      </c>
      <c r="K737" s="15" t="s">
        <v>22</v>
      </c>
    </row>
    <row r="738" spans="1:11" ht="42" customHeight="1">
      <c r="A738" s="4" t="s">
        <v>1897</v>
      </c>
      <c r="B738" s="5" t="s">
        <v>1897</v>
      </c>
      <c r="C738" s="5" t="s">
        <v>28</v>
      </c>
      <c r="D738" s="5" t="s">
        <v>29</v>
      </c>
      <c r="E738" s="5" t="s">
        <v>461</v>
      </c>
      <c r="F738" s="9">
        <v>99</v>
      </c>
      <c r="G738" s="9">
        <v>1156</v>
      </c>
      <c r="H738" s="5" t="s">
        <v>20</v>
      </c>
      <c r="I738" s="5" t="s">
        <v>1898</v>
      </c>
      <c r="J738" s="12" t="str">
        <f>HYPERLINK("https://www.boe.es/gazeta/dias/1807/11/06/pdfs/GMD-1807-99.pdf#page=12","Abrir facsímil")</f>
        <v>Abrir facsímil</v>
      </c>
      <c r="K738" s="15" t="s">
        <v>22</v>
      </c>
    </row>
    <row r="739" spans="1:11" ht="42" customHeight="1">
      <c r="A739" s="4" t="s">
        <v>1899</v>
      </c>
      <c r="B739" s="5" t="s">
        <v>1900</v>
      </c>
      <c r="C739" s="5" t="s">
        <v>34</v>
      </c>
      <c r="D739" s="5" t="s">
        <v>35</v>
      </c>
      <c r="E739" s="5" t="s">
        <v>361</v>
      </c>
      <c r="F739" s="9">
        <v>113</v>
      </c>
      <c r="G739" s="9">
        <v>1322</v>
      </c>
      <c r="H739" s="5" t="s">
        <v>20</v>
      </c>
      <c r="I739" s="5" t="s">
        <v>1901</v>
      </c>
      <c r="J739" s="12" t="str">
        <f>HYPERLINK("https://www.boe.es/gazeta/dias/1807/12/22/pdfs/GMD-1807-113.pdf#page=10","Abrir facsímil")</f>
        <v>Abrir facsímil</v>
      </c>
      <c r="K739" s="15" t="s">
        <v>22</v>
      </c>
    </row>
    <row r="740" spans="1:11" ht="42" customHeight="1">
      <c r="A740" s="4" t="s">
        <v>1902</v>
      </c>
      <c r="B740" s="5" t="s">
        <v>1903</v>
      </c>
      <c r="C740" s="5" t="s">
        <v>49</v>
      </c>
      <c r="D740" s="5" t="s">
        <v>50</v>
      </c>
      <c r="E740" s="5" t="s">
        <v>176</v>
      </c>
      <c r="F740" s="9">
        <v>17</v>
      </c>
      <c r="G740" s="9">
        <v>192</v>
      </c>
      <c r="H740" s="5" t="s">
        <v>20</v>
      </c>
      <c r="I740" s="5" t="s">
        <v>1904</v>
      </c>
      <c r="J740" s="12" t="str">
        <f>HYPERLINK("https://www.boe.es/gazeta/dias/1807/02/20/pdfs/GMD-1807-17.pdf#page=4","Abrir facsímil")</f>
        <v>Abrir facsímil</v>
      </c>
      <c r="K740" s="15" t="s">
        <v>22</v>
      </c>
    </row>
    <row r="741" spans="1:11" ht="42" customHeight="1">
      <c r="A741" s="4" t="s">
        <v>1905</v>
      </c>
      <c r="B741" s="5" t="s">
        <v>1905</v>
      </c>
      <c r="C741" s="5" t="s">
        <v>49</v>
      </c>
      <c r="D741" s="5" t="s">
        <v>50</v>
      </c>
      <c r="E741" s="5" t="s">
        <v>176</v>
      </c>
      <c r="F741" s="9">
        <v>17</v>
      </c>
      <c r="G741" s="9">
        <v>192</v>
      </c>
      <c r="H741" s="5" t="s">
        <v>20</v>
      </c>
      <c r="I741" s="5" t="s">
        <v>1906</v>
      </c>
      <c r="J741" s="12" t="str">
        <f>HYPERLINK("https://www.boe.es/gazeta/dias/1807/02/20/pdfs/GMD-1807-17.pdf#page=4","Abrir facsímil")</f>
        <v>Abrir facsímil</v>
      </c>
      <c r="K741" s="15" t="s">
        <v>22</v>
      </c>
    </row>
    <row r="742" spans="1:11" ht="42" customHeight="1">
      <c r="A742" s="4" t="s">
        <v>1907</v>
      </c>
      <c r="B742" s="5" t="s">
        <v>1907</v>
      </c>
      <c r="C742" s="5" t="s">
        <v>24</v>
      </c>
      <c r="D742" s="5" t="s">
        <v>18</v>
      </c>
      <c r="E742" s="5" t="s">
        <v>314</v>
      </c>
      <c r="F742" s="9" t="s">
        <v>315</v>
      </c>
      <c r="G742" s="9">
        <v>1220</v>
      </c>
      <c r="H742" s="5" t="s">
        <v>20</v>
      </c>
      <c r="I742" s="5" t="s">
        <v>1908</v>
      </c>
      <c r="J742" s="12" t="str">
        <f>HYPERLINK("https://www.boe.es/gazeta/dias/1807/11/26/pdfs/GMD-1807-105E.pdf#page=4","Abrir facsímil")</f>
        <v>Abrir facsímil</v>
      </c>
      <c r="K742" s="15" t="s">
        <v>22</v>
      </c>
    </row>
    <row r="743" spans="1:11" ht="42" customHeight="1">
      <c r="A743" s="4" t="s">
        <v>1909</v>
      </c>
      <c r="B743" s="5" t="s">
        <v>1909</v>
      </c>
      <c r="C743" s="5" t="s">
        <v>49</v>
      </c>
      <c r="D743" s="5" t="s">
        <v>50</v>
      </c>
      <c r="E743" s="5" t="s">
        <v>384</v>
      </c>
      <c r="F743" s="9">
        <v>111</v>
      </c>
      <c r="G743" s="9">
        <v>1294</v>
      </c>
      <c r="H743" s="5" t="s">
        <v>20</v>
      </c>
      <c r="I743" s="5" t="s">
        <v>1910</v>
      </c>
      <c r="J743" s="12" t="str">
        <f>HYPERLINK("https://www.boe.es/gazeta/dias/1807/12/15/pdfs/GMD-1807-111.pdf#page=6","Abrir facsímil")</f>
        <v>Abrir facsímil</v>
      </c>
      <c r="K743" s="15" t="s">
        <v>22</v>
      </c>
    </row>
    <row r="744" spans="1:11" ht="42" customHeight="1">
      <c r="A744" s="4" t="s">
        <v>1911</v>
      </c>
      <c r="B744" s="5" t="s">
        <v>1911</v>
      </c>
      <c r="C744" s="5" t="s">
        <v>252</v>
      </c>
      <c r="D744" s="5" t="s">
        <v>253</v>
      </c>
      <c r="E744" s="5" t="s">
        <v>215</v>
      </c>
      <c r="F744" s="9" t="s">
        <v>517</v>
      </c>
      <c r="G744" s="9">
        <v>67</v>
      </c>
      <c r="H744" s="5" t="s">
        <v>20</v>
      </c>
      <c r="I744" s="5" t="s">
        <v>1912</v>
      </c>
      <c r="J744" s="12" t="str">
        <f>HYPERLINK("https://www.boe.es/gazeta/dias/1807/01/16/pdfs/GMD-1807-6E.pdf#page=7","Abrir facsímil")</f>
        <v>Abrir facsímil</v>
      </c>
      <c r="K744" s="15" t="s">
        <v>22</v>
      </c>
    </row>
    <row r="745" spans="1:11" ht="42" customHeight="1">
      <c r="A745" s="4" t="s">
        <v>1913</v>
      </c>
      <c r="B745" s="5" t="s">
        <v>1913</v>
      </c>
      <c r="C745" s="5" t="s">
        <v>49</v>
      </c>
      <c r="D745" s="5" t="s">
        <v>50</v>
      </c>
      <c r="E745" s="5" t="s">
        <v>444</v>
      </c>
      <c r="F745" s="9">
        <v>95</v>
      </c>
      <c r="G745" s="9">
        <v>1097</v>
      </c>
      <c r="H745" s="5" t="s">
        <v>20</v>
      </c>
      <c r="I745" s="5" t="s">
        <v>1914</v>
      </c>
      <c r="J745" s="12" t="str">
        <f>HYPERLINK("https://www.boe.es/gazeta/dias/1807/10/23/pdfs/GMD-1807-95.pdf#page=1","Abrir facsímil")</f>
        <v>Abrir facsímil</v>
      </c>
      <c r="K745" s="15" t="s">
        <v>22</v>
      </c>
    </row>
    <row r="746" spans="1:11" ht="42" customHeight="1">
      <c r="A746" s="4" t="s">
        <v>1915</v>
      </c>
      <c r="B746" s="5" t="s">
        <v>1915</v>
      </c>
      <c r="C746" s="5" t="s">
        <v>49</v>
      </c>
      <c r="D746" s="5" t="s">
        <v>50</v>
      </c>
      <c r="E746" s="5" t="s">
        <v>444</v>
      </c>
      <c r="F746" s="9">
        <v>95</v>
      </c>
      <c r="G746" s="9">
        <v>1097</v>
      </c>
      <c r="H746" s="5" t="s">
        <v>20</v>
      </c>
      <c r="I746" s="5" t="s">
        <v>1916</v>
      </c>
      <c r="J746" s="12" t="str">
        <f>HYPERLINK("https://www.boe.es/gazeta/dias/1807/10/23/pdfs/GMD-1807-95.pdf#page=1","Abrir facsímil")</f>
        <v>Abrir facsímil</v>
      </c>
      <c r="K746" s="15" t="s">
        <v>22</v>
      </c>
    </row>
    <row r="747" spans="1:11" ht="42" customHeight="1">
      <c r="A747" s="4" t="s">
        <v>1917</v>
      </c>
      <c r="B747" s="5" t="s">
        <v>1917</v>
      </c>
      <c r="C747" s="5" t="s">
        <v>24</v>
      </c>
      <c r="D747" s="5" t="s">
        <v>18</v>
      </c>
      <c r="E747" s="5" t="s">
        <v>615</v>
      </c>
      <c r="F747" s="9" t="s">
        <v>616</v>
      </c>
      <c r="G747" s="9">
        <v>1000</v>
      </c>
      <c r="H747" s="5" t="s">
        <v>20</v>
      </c>
      <c r="I747" s="5" t="s">
        <v>1918</v>
      </c>
      <c r="J747" s="12" t="str">
        <f>HYPERLINK("https://www.boe.es/gazeta/dias/1807/09/27/pdfs/GMD-1807-86E.pdf#page=4","Abrir facsímil")</f>
        <v>Abrir facsímil</v>
      </c>
      <c r="K747" s="15" t="s">
        <v>22</v>
      </c>
    </row>
    <row r="748" spans="1:11" ht="42" customHeight="1">
      <c r="A748" s="4" t="s">
        <v>1919</v>
      </c>
      <c r="B748" s="5" t="s">
        <v>1919</v>
      </c>
      <c r="C748" s="5" t="s">
        <v>28</v>
      </c>
      <c r="D748" s="5" t="s">
        <v>29</v>
      </c>
      <c r="E748" s="5" t="s">
        <v>259</v>
      </c>
      <c r="F748" s="9">
        <v>3</v>
      </c>
      <c r="G748" s="9">
        <v>26</v>
      </c>
      <c r="H748" s="5" t="s">
        <v>20</v>
      </c>
      <c r="I748" s="5" t="s">
        <v>1920</v>
      </c>
      <c r="J748" s="12" t="str">
        <f>HYPERLINK("https://www.boe.es/gazeta/dias/1807/01/09/pdfs/GMD-1807-3.pdf#page=6","Abrir facsímil")</f>
        <v>Abrir facsímil</v>
      </c>
      <c r="K748" s="15" t="s">
        <v>22</v>
      </c>
    </row>
    <row r="749" spans="1:11" ht="42" customHeight="1">
      <c r="A749" s="4" t="s">
        <v>1921</v>
      </c>
      <c r="B749" s="5" t="s">
        <v>1921</v>
      </c>
      <c r="C749" s="5" t="s">
        <v>49</v>
      </c>
      <c r="D749" s="5" t="s">
        <v>50</v>
      </c>
      <c r="E749" s="5" t="s">
        <v>384</v>
      </c>
      <c r="F749" s="9">
        <v>111</v>
      </c>
      <c r="G749" s="9">
        <v>1294</v>
      </c>
      <c r="H749" s="5" t="s">
        <v>20</v>
      </c>
      <c r="I749" s="5" t="s">
        <v>1910</v>
      </c>
      <c r="J749" s="12" t="str">
        <f>HYPERLINK("https://www.boe.es/gazeta/dias/1807/12/15/pdfs/GMD-1807-111.pdf#page=6","Abrir facsímil")</f>
        <v>Abrir facsímil</v>
      </c>
      <c r="K749" s="15" t="s">
        <v>22</v>
      </c>
    </row>
    <row r="750" spans="1:11" ht="42" customHeight="1">
      <c r="A750" s="4" t="s">
        <v>1922</v>
      </c>
      <c r="B750" s="5" t="s">
        <v>1922</v>
      </c>
      <c r="C750" s="5" t="s">
        <v>49</v>
      </c>
      <c r="D750" s="5" t="s">
        <v>50</v>
      </c>
      <c r="E750" s="5" t="s">
        <v>76</v>
      </c>
      <c r="F750" s="9">
        <v>7</v>
      </c>
      <c r="G750" s="9">
        <v>71</v>
      </c>
      <c r="H750" s="5" t="s">
        <v>20</v>
      </c>
      <c r="I750" s="5" t="s">
        <v>1923</v>
      </c>
      <c r="J750" s="12" t="str">
        <f>HYPERLINK("https://www.boe.es/gazeta/dias/1807/01/20/pdfs/GMD-1807-7.pdf#page=3","Abrir facsímil")</f>
        <v>Abrir facsímil</v>
      </c>
      <c r="K750" s="15" t="s">
        <v>22</v>
      </c>
    </row>
    <row r="751" spans="1:11" ht="42" customHeight="1">
      <c r="A751" s="4" t="s">
        <v>1924</v>
      </c>
      <c r="B751" s="5" t="s">
        <v>1925</v>
      </c>
      <c r="C751" s="5" t="s">
        <v>34</v>
      </c>
      <c r="D751" s="5" t="s">
        <v>35</v>
      </c>
      <c r="E751" s="5" t="s">
        <v>183</v>
      </c>
      <c r="F751" s="9">
        <v>1</v>
      </c>
      <c r="G751" s="9">
        <v>5</v>
      </c>
      <c r="H751" s="5" t="s">
        <v>20</v>
      </c>
      <c r="I751" s="5" t="s">
        <v>1926</v>
      </c>
      <c r="J751" s="12" t="str">
        <f>HYPERLINK("https://www.boe.es/gazeta/dias/1807/01/02/pdfs/GMD-1807-1.pdf#page=5","Abrir facsímil")</f>
        <v>Abrir facsímil</v>
      </c>
      <c r="K751" s="15" t="s">
        <v>22</v>
      </c>
    </row>
    <row r="752" spans="1:11" ht="42" customHeight="1">
      <c r="A752" s="4" t="s">
        <v>1927</v>
      </c>
      <c r="B752" s="5" t="s">
        <v>1928</v>
      </c>
      <c r="C752" s="5" t="s">
        <v>49</v>
      </c>
      <c r="D752" s="5" t="s">
        <v>50</v>
      </c>
      <c r="E752" s="5" t="s">
        <v>183</v>
      </c>
      <c r="F752" s="9">
        <v>1</v>
      </c>
      <c r="G752" s="9">
        <v>5</v>
      </c>
      <c r="H752" s="5" t="s">
        <v>20</v>
      </c>
      <c r="I752" s="5" t="s">
        <v>1929</v>
      </c>
      <c r="J752" s="12" t="str">
        <f>HYPERLINK("https://www.boe.es/gazeta/dias/1807/01/02/pdfs/GMD-1807-1.pdf#page=5","Abrir facsímil")</f>
        <v>Abrir facsímil</v>
      </c>
      <c r="K752" s="15" t="s">
        <v>22</v>
      </c>
    </row>
    <row r="753" spans="1:11" ht="42" customHeight="1">
      <c r="A753" s="4" t="s">
        <v>1927</v>
      </c>
      <c r="B753" s="5" t="s">
        <v>1928</v>
      </c>
      <c r="C753" s="5" t="s">
        <v>34</v>
      </c>
      <c r="D753" s="5" t="s">
        <v>35</v>
      </c>
      <c r="E753" s="5" t="s">
        <v>30</v>
      </c>
      <c r="F753" s="9">
        <v>13</v>
      </c>
      <c r="G753" s="9">
        <v>147</v>
      </c>
      <c r="H753" s="5" t="s">
        <v>20</v>
      </c>
      <c r="I753" s="5" t="s">
        <v>1930</v>
      </c>
      <c r="J753" s="12" t="str">
        <f>HYPERLINK("https://www.boe.es/gazeta/dias/1807/02/06/pdfs/GMD-1807-13.pdf#page=7","Abrir facsímil")</f>
        <v>Abrir facsímil</v>
      </c>
      <c r="K753" s="15" t="s">
        <v>22</v>
      </c>
    </row>
    <row r="754" spans="1:11" ht="42" customHeight="1">
      <c r="A754" s="4" t="s">
        <v>1931</v>
      </c>
      <c r="B754" s="5" t="s">
        <v>1932</v>
      </c>
      <c r="C754" s="5" t="s">
        <v>89</v>
      </c>
      <c r="D754" s="5" t="s">
        <v>90</v>
      </c>
      <c r="E754" s="5" t="s">
        <v>183</v>
      </c>
      <c r="F754" s="9">
        <v>1</v>
      </c>
      <c r="G754" s="9">
        <v>5</v>
      </c>
      <c r="H754" s="5" t="s">
        <v>20</v>
      </c>
      <c r="I754" s="5" t="s">
        <v>1933</v>
      </c>
      <c r="J754" s="12" t="str">
        <f>HYPERLINK("https://www.boe.es/gazeta/dias/1807/01/02/pdfs/GMD-1807-1.pdf#page=5","Abrir facsímil")</f>
        <v>Abrir facsímil</v>
      </c>
      <c r="K754" s="15" t="s">
        <v>22</v>
      </c>
    </row>
    <row r="755" spans="1:11" ht="42" customHeight="1">
      <c r="A755" s="4" t="s">
        <v>1931</v>
      </c>
      <c r="B755" s="5" t="s">
        <v>1932</v>
      </c>
      <c r="C755" s="5" t="s">
        <v>49</v>
      </c>
      <c r="D755" s="5" t="s">
        <v>50</v>
      </c>
      <c r="E755" s="5" t="s">
        <v>1934</v>
      </c>
      <c r="F755" s="9">
        <v>2</v>
      </c>
      <c r="G755" s="9">
        <v>17</v>
      </c>
      <c r="H755" s="5" t="s">
        <v>20</v>
      </c>
      <c r="I755" s="5" t="s">
        <v>1935</v>
      </c>
      <c r="J755" s="12" t="str">
        <f>HYPERLINK("https://www.boe.es/gazeta/dias/1807/01/06/pdfs/GMD-1807-2.pdf#page=5","Abrir facsímil")</f>
        <v>Abrir facsímil</v>
      </c>
      <c r="K755" s="15" t="s">
        <v>22</v>
      </c>
    </row>
    <row r="756" spans="1:11" ht="42" customHeight="1">
      <c r="A756" s="4" t="s">
        <v>1931</v>
      </c>
      <c r="B756" s="5" t="s">
        <v>1932</v>
      </c>
      <c r="C756" s="5" t="s">
        <v>49</v>
      </c>
      <c r="D756" s="5" t="s">
        <v>50</v>
      </c>
      <c r="E756" s="5" t="s">
        <v>418</v>
      </c>
      <c r="F756" s="9">
        <v>4</v>
      </c>
      <c r="G756" s="9">
        <v>37</v>
      </c>
      <c r="H756" s="5" t="s">
        <v>20</v>
      </c>
      <c r="I756" s="5" t="s">
        <v>1936</v>
      </c>
      <c r="J756" s="12" t="str">
        <f>HYPERLINK("https://www.boe.es/gazeta/dias/1807/01/13/pdfs/GMD-1807-4.pdf#page=5","Abrir facsímil")</f>
        <v>Abrir facsímil</v>
      </c>
      <c r="K756" s="15" t="s">
        <v>22</v>
      </c>
    </row>
    <row r="757" spans="1:11" ht="42" customHeight="1">
      <c r="A757" s="4" t="s">
        <v>1937</v>
      </c>
      <c r="B757" s="5" t="s">
        <v>1938</v>
      </c>
      <c r="C757" s="5" t="s">
        <v>34</v>
      </c>
      <c r="D757" s="5" t="s">
        <v>35</v>
      </c>
      <c r="E757" s="5" t="s">
        <v>65</v>
      </c>
      <c r="F757" s="9">
        <v>52</v>
      </c>
      <c r="G757" s="9">
        <v>621</v>
      </c>
      <c r="H757" s="5" t="s">
        <v>20</v>
      </c>
      <c r="I757" s="5" t="s">
        <v>1939</v>
      </c>
      <c r="J757" s="12" t="str">
        <f>HYPERLINK("https://www.boe.es/gazeta/dias/1807/06/19/pdfs/GMD-1807-52.pdf#page=11","Abrir facsímil")</f>
        <v>Abrir facsímil</v>
      </c>
      <c r="K757" s="15" t="s">
        <v>22</v>
      </c>
    </row>
    <row r="758" spans="1:11" ht="42" customHeight="1">
      <c r="A758" s="4" t="s">
        <v>1940</v>
      </c>
      <c r="B758" s="5" t="s">
        <v>1941</v>
      </c>
      <c r="C758" s="5" t="s">
        <v>49</v>
      </c>
      <c r="D758" s="5" t="s">
        <v>50</v>
      </c>
      <c r="E758" s="5" t="s">
        <v>346</v>
      </c>
      <c r="F758" s="9">
        <v>21</v>
      </c>
      <c r="G758" s="9">
        <v>237</v>
      </c>
      <c r="H758" s="5" t="s">
        <v>20</v>
      </c>
      <c r="I758" s="5" t="s">
        <v>1942</v>
      </c>
      <c r="J758" s="12" t="str">
        <f>HYPERLINK("https://www.boe.es/gazeta/dias/1807/03/03/pdfs/GMD-1807-21.pdf#page=1","Abrir facsímil")</f>
        <v>Abrir facsímil</v>
      </c>
      <c r="K758" s="15" t="s">
        <v>22</v>
      </c>
    </row>
    <row r="759" spans="1:11" ht="42" customHeight="1">
      <c r="A759" s="4" t="s">
        <v>1943</v>
      </c>
      <c r="B759" s="5" t="s">
        <v>1944</v>
      </c>
      <c r="C759" s="5" t="s">
        <v>34</v>
      </c>
      <c r="D759" s="5" t="s">
        <v>35</v>
      </c>
      <c r="E759" s="5" t="s">
        <v>183</v>
      </c>
      <c r="F759" s="9">
        <v>1</v>
      </c>
      <c r="G759" s="9">
        <v>11</v>
      </c>
      <c r="H759" s="5" t="s">
        <v>20</v>
      </c>
      <c r="I759" s="5" t="s">
        <v>1945</v>
      </c>
      <c r="J759" s="12" t="str">
        <f>HYPERLINK("https://www.boe.es/gazeta/dias/1807/01/02/pdfs/GMD-1807-1.pdf#page=11","Abrir facsímil")</f>
        <v>Abrir facsímil</v>
      </c>
      <c r="K759" s="15" t="s">
        <v>22</v>
      </c>
    </row>
    <row r="760" spans="1:11" ht="42" customHeight="1">
      <c r="A760" s="4" t="s">
        <v>1946</v>
      </c>
      <c r="B760" s="5" t="s">
        <v>1947</v>
      </c>
      <c r="C760" s="5" t="s">
        <v>17</v>
      </c>
      <c r="D760" s="5" t="s">
        <v>18</v>
      </c>
      <c r="E760" s="5" t="s">
        <v>109</v>
      </c>
      <c r="F760" s="9">
        <v>58</v>
      </c>
      <c r="G760" s="9">
        <v>689</v>
      </c>
      <c r="H760" s="5" t="s">
        <v>20</v>
      </c>
      <c r="I760" s="5" t="s">
        <v>1948</v>
      </c>
      <c r="J760" s="12" t="str">
        <f>HYPERLINK("https://www.boe.es/gazeta/dias/1807/07/07/pdfs/GMD-1807-58.pdf#page=7","Abrir facsímil")</f>
        <v>Abrir facsímil</v>
      </c>
      <c r="K760" s="15" t="s">
        <v>22</v>
      </c>
    </row>
    <row r="761" spans="1:11" ht="42" customHeight="1">
      <c r="A761" s="4" t="s">
        <v>1949</v>
      </c>
      <c r="B761" s="5" t="s">
        <v>1949</v>
      </c>
      <c r="C761" s="5" t="s">
        <v>49</v>
      </c>
      <c r="D761" s="5" t="s">
        <v>50</v>
      </c>
      <c r="E761" s="5" t="s">
        <v>127</v>
      </c>
      <c r="F761" s="9">
        <v>81</v>
      </c>
      <c r="G761" s="9">
        <v>941</v>
      </c>
      <c r="H761" s="5" t="s">
        <v>20</v>
      </c>
      <c r="I761" s="5" t="s">
        <v>1950</v>
      </c>
      <c r="J761" s="12" t="str">
        <f>HYPERLINK("https://www.boe.es/gazeta/dias/1807/09/11/pdfs/GMD-1807-81.pdf#page=5","Abrir facsímil")</f>
        <v>Abrir facsímil</v>
      </c>
      <c r="K761" s="15" t="s">
        <v>22</v>
      </c>
    </row>
    <row r="762" spans="1:11" ht="42" customHeight="1">
      <c r="A762" s="4" t="s">
        <v>1949</v>
      </c>
      <c r="B762" s="5" t="s">
        <v>1949</v>
      </c>
      <c r="C762" s="5" t="s">
        <v>49</v>
      </c>
      <c r="D762" s="5" t="s">
        <v>50</v>
      </c>
      <c r="E762" s="5" t="s">
        <v>1177</v>
      </c>
      <c r="F762" s="9">
        <v>101</v>
      </c>
      <c r="G762" s="9">
        <v>1173</v>
      </c>
      <c r="H762" s="5" t="s">
        <v>20</v>
      </c>
      <c r="I762" s="5" t="s">
        <v>1951</v>
      </c>
      <c r="J762" s="12" t="str">
        <f>HYPERLINK("https://www.boe.es/gazeta/dias/1807/11/13/pdfs/GMD-1807-101.pdf#page=5","Abrir facsímil")</f>
        <v>Abrir facsímil</v>
      </c>
      <c r="K762" s="15" t="s">
        <v>22</v>
      </c>
    </row>
    <row r="763" spans="1:11" ht="42" customHeight="1">
      <c r="A763" s="4" t="s">
        <v>1949</v>
      </c>
      <c r="B763" s="5" t="s">
        <v>1949</v>
      </c>
      <c r="C763" s="5" t="s">
        <v>49</v>
      </c>
      <c r="D763" s="5" t="s">
        <v>50</v>
      </c>
      <c r="E763" s="5" t="s">
        <v>1177</v>
      </c>
      <c r="F763" s="9">
        <v>101</v>
      </c>
      <c r="G763" s="9">
        <v>1174</v>
      </c>
      <c r="H763" s="5" t="s">
        <v>20</v>
      </c>
      <c r="I763" s="5" t="s">
        <v>1952</v>
      </c>
      <c r="J763" s="12" t="str">
        <f>HYPERLINK("https://www.boe.es/gazeta/dias/1807/11/13/pdfs/GMD-1807-101.pdf#page=6","Abrir facsímil")</f>
        <v>Abrir facsímil</v>
      </c>
      <c r="K763" s="15" t="s">
        <v>22</v>
      </c>
    </row>
    <row r="764" spans="1:11" ht="42" customHeight="1">
      <c r="A764" s="4" t="s">
        <v>1953</v>
      </c>
      <c r="B764" s="5" t="s">
        <v>1954</v>
      </c>
      <c r="C764" s="5" t="s">
        <v>34</v>
      </c>
      <c r="D764" s="5" t="s">
        <v>35</v>
      </c>
      <c r="E764" s="5" t="s">
        <v>114</v>
      </c>
      <c r="F764" s="9">
        <v>46</v>
      </c>
      <c r="G764" s="9">
        <v>548</v>
      </c>
      <c r="H764" s="5" t="s">
        <v>20</v>
      </c>
      <c r="I764" s="5" t="s">
        <v>1955</v>
      </c>
      <c r="J764" s="12" t="str">
        <f>HYPERLINK("https://www.boe.es/gazeta/dias/1807/05/29/pdfs/GMD-1807-46.pdf#page=6","Abrir facsímil")</f>
        <v>Abrir facsímil</v>
      </c>
      <c r="K764" s="15" t="s">
        <v>22</v>
      </c>
    </row>
    <row r="765" spans="1:11" ht="42" customHeight="1">
      <c r="A765" s="4" t="s">
        <v>1956</v>
      </c>
      <c r="B765" s="5" t="s">
        <v>1957</v>
      </c>
      <c r="C765" s="5" t="s">
        <v>28</v>
      </c>
      <c r="D765" s="5" t="s">
        <v>29</v>
      </c>
      <c r="E765" s="5" t="s">
        <v>259</v>
      </c>
      <c r="F765" s="9">
        <v>3</v>
      </c>
      <c r="G765" s="9">
        <v>32</v>
      </c>
      <c r="H765" s="5" t="s">
        <v>20</v>
      </c>
      <c r="I765" s="5" t="s">
        <v>1958</v>
      </c>
      <c r="J765" s="12" t="str">
        <f>HYPERLINK("https://www.boe.es/gazeta/dias/1807/01/09/pdfs/GMD-1807-3.pdf#page=12","Abrir facsímil")</f>
        <v>Abrir facsímil</v>
      </c>
      <c r="K765" s="15" t="s">
        <v>22</v>
      </c>
    </row>
    <row r="766" spans="1:11" ht="42" customHeight="1">
      <c r="A766" s="4" t="s">
        <v>1956</v>
      </c>
      <c r="B766" s="5" t="s">
        <v>1957</v>
      </c>
      <c r="C766" s="5" t="s">
        <v>252</v>
      </c>
      <c r="D766" s="5" t="s">
        <v>253</v>
      </c>
      <c r="E766" s="5" t="s">
        <v>1959</v>
      </c>
      <c r="F766" s="9" t="s">
        <v>1960</v>
      </c>
      <c r="G766" s="9">
        <v>736</v>
      </c>
      <c r="H766" s="5" t="s">
        <v>20</v>
      </c>
      <c r="I766" s="5" t="s">
        <v>1961</v>
      </c>
      <c r="J766" s="12" t="str">
        <f>HYPERLINK("https://www.boe.es/gazeta/dias/1807/07/18/pdfs/GMD-1807-63E.pdf#page=2","Abrir facsímil")</f>
        <v>Abrir facsímil</v>
      </c>
      <c r="K766" s="15" t="s">
        <v>22</v>
      </c>
    </row>
    <row r="767" spans="1:11" ht="42" customHeight="1">
      <c r="A767" s="4" t="s">
        <v>1956</v>
      </c>
      <c r="B767" s="5" t="s">
        <v>1957</v>
      </c>
      <c r="C767" s="5" t="s">
        <v>89</v>
      </c>
      <c r="D767" s="5" t="s">
        <v>90</v>
      </c>
      <c r="E767" s="5" t="s">
        <v>1962</v>
      </c>
      <c r="F767" s="9" t="s">
        <v>1963</v>
      </c>
      <c r="G767" s="9">
        <v>764</v>
      </c>
      <c r="H767" s="5" t="s">
        <v>20</v>
      </c>
      <c r="I767" s="5" t="s">
        <v>1964</v>
      </c>
      <c r="J767" s="12" t="str">
        <f>HYPERLINK("https://www.boe.es/gazeta/dias/1807/07/26/pdfs/GMD-1807-66E.pdf#page=2","Abrir facsímil")</f>
        <v>Abrir facsímil</v>
      </c>
      <c r="K767" s="15" t="s">
        <v>22</v>
      </c>
    </row>
    <row r="768" spans="1:11" ht="42" customHeight="1">
      <c r="A768" s="4" t="s">
        <v>1956</v>
      </c>
      <c r="B768" s="5" t="s">
        <v>1957</v>
      </c>
      <c r="C768" s="5" t="s">
        <v>34</v>
      </c>
      <c r="D768" s="5" t="s">
        <v>35</v>
      </c>
      <c r="E768" s="5" t="s">
        <v>123</v>
      </c>
      <c r="F768" s="9">
        <v>70</v>
      </c>
      <c r="G768" s="9">
        <v>802</v>
      </c>
      <c r="H768" s="5" t="s">
        <v>20</v>
      </c>
      <c r="I768" s="5" t="s">
        <v>1965</v>
      </c>
      <c r="J768" s="12" t="str">
        <f>HYPERLINK("https://www.boe.es/gazeta/dias/1807/08/04/pdfs/GMD-1807-70.pdf#page=6","Abrir facsímil")</f>
        <v>Abrir facsímil</v>
      </c>
      <c r="K768" s="15" t="s">
        <v>22</v>
      </c>
    </row>
    <row r="769" spans="1:11" ht="42" customHeight="1">
      <c r="A769" s="4" t="s">
        <v>1956</v>
      </c>
      <c r="B769" s="5" t="s">
        <v>1957</v>
      </c>
      <c r="C769" s="5" t="s">
        <v>49</v>
      </c>
      <c r="D769" s="5" t="s">
        <v>50</v>
      </c>
      <c r="E769" s="5" t="s">
        <v>241</v>
      </c>
      <c r="F769" s="9">
        <v>76</v>
      </c>
      <c r="G769" s="9">
        <v>874</v>
      </c>
      <c r="H769" s="5" t="s">
        <v>20</v>
      </c>
      <c r="I769" s="5" t="s">
        <v>1966</v>
      </c>
      <c r="J769" s="12" t="str">
        <f>HYPERLINK("https://www.boe.es/gazeta/dias/1807/08/25/pdfs/GMD-1807-76.pdf#page=2","Abrir facsímil")</f>
        <v>Abrir facsímil</v>
      </c>
      <c r="K769" s="15" t="s">
        <v>22</v>
      </c>
    </row>
    <row r="770" spans="1:11" ht="42" customHeight="1">
      <c r="A770" s="4" t="s">
        <v>1956</v>
      </c>
      <c r="B770" s="5" t="s">
        <v>1957</v>
      </c>
      <c r="C770" s="5" t="s">
        <v>49</v>
      </c>
      <c r="D770" s="5" t="s">
        <v>50</v>
      </c>
      <c r="E770" s="5" t="s">
        <v>1354</v>
      </c>
      <c r="F770" s="9">
        <v>83</v>
      </c>
      <c r="G770" s="9">
        <v>961</v>
      </c>
      <c r="H770" s="5" t="s">
        <v>20</v>
      </c>
      <c r="I770" s="5" t="s">
        <v>1967</v>
      </c>
      <c r="J770" s="12" t="str">
        <f>HYPERLINK("https://www.boe.es/gazeta/dias/1807/09/18/pdfs/GMD-1807-83.pdf#page=1","Abrir facsímil")</f>
        <v>Abrir facsímil</v>
      </c>
      <c r="K770" s="15" t="s">
        <v>22</v>
      </c>
    </row>
    <row r="771" spans="1:11" ht="42" customHeight="1">
      <c r="A771" s="4" t="s">
        <v>1968</v>
      </c>
      <c r="B771" s="5" t="s">
        <v>1969</v>
      </c>
      <c r="C771" s="5" t="s">
        <v>49</v>
      </c>
      <c r="D771" s="5" t="s">
        <v>50</v>
      </c>
      <c r="E771" s="5" t="s">
        <v>1354</v>
      </c>
      <c r="F771" s="9">
        <v>83</v>
      </c>
      <c r="G771" s="9">
        <v>962</v>
      </c>
      <c r="H771" s="5" t="s">
        <v>20</v>
      </c>
      <c r="I771" s="5" t="s">
        <v>1970</v>
      </c>
      <c r="J771" s="12" t="str">
        <f>HYPERLINK("https://www.boe.es/gazeta/dias/1807/09/18/pdfs/GMD-1807-83.pdf#page=2","Abrir facsímil")</f>
        <v>Abrir facsímil</v>
      </c>
      <c r="K771" s="15" t="s">
        <v>22</v>
      </c>
    </row>
    <row r="772" spans="1:11" ht="42" customHeight="1">
      <c r="A772" s="4" t="s">
        <v>1968</v>
      </c>
      <c r="B772" s="5" t="s">
        <v>1969</v>
      </c>
      <c r="C772" s="5" t="s">
        <v>34</v>
      </c>
      <c r="D772" s="5" t="s">
        <v>35</v>
      </c>
      <c r="E772" s="5" t="s">
        <v>1456</v>
      </c>
      <c r="F772" s="9">
        <v>98</v>
      </c>
      <c r="G772" s="9">
        <v>1133</v>
      </c>
      <c r="H772" s="5" t="s">
        <v>20</v>
      </c>
      <c r="I772" s="5" t="s">
        <v>1971</v>
      </c>
      <c r="J772" s="12" t="str">
        <f>HYPERLINK("https://www.boe.es/gazeta/dias/1807/11/03/pdfs/GMD-1807-98.pdf#page=1","Abrir facsímil")</f>
        <v>Abrir facsímil</v>
      </c>
      <c r="K772" s="15" t="s">
        <v>22</v>
      </c>
    </row>
    <row r="773" spans="1:11" ht="42" customHeight="1">
      <c r="A773" s="4" t="s">
        <v>1968</v>
      </c>
      <c r="B773" s="5" t="s">
        <v>1969</v>
      </c>
      <c r="C773" s="5" t="s">
        <v>28</v>
      </c>
      <c r="D773" s="5" t="s">
        <v>29</v>
      </c>
      <c r="E773" s="5" t="s">
        <v>327</v>
      </c>
      <c r="F773" s="9">
        <v>108</v>
      </c>
      <c r="G773" s="9">
        <v>1264</v>
      </c>
      <c r="H773" s="5" t="s">
        <v>20</v>
      </c>
      <c r="I773" s="5" t="s">
        <v>1972</v>
      </c>
      <c r="J773" s="12" t="str">
        <f>HYPERLINK("https://www.boe.es/gazeta/dias/1807/12/04/pdfs/GMD-1807-108.pdf#page=12","Abrir facsímil")</f>
        <v>Abrir facsímil</v>
      </c>
      <c r="K773" s="15" t="s">
        <v>22</v>
      </c>
    </row>
    <row r="774" spans="1:11" ht="42" customHeight="1">
      <c r="A774" s="4" t="s">
        <v>1968</v>
      </c>
      <c r="B774" s="5" t="s">
        <v>1969</v>
      </c>
      <c r="C774" s="5" t="s">
        <v>24</v>
      </c>
      <c r="D774" s="5" t="s">
        <v>18</v>
      </c>
      <c r="E774" s="5" t="s">
        <v>91</v>
      </c>
      <c r="F774" s="9">
        <v>109</v>
      </c>
      <c r="G774" s="9">
        <v>1266</v>
      </c>
      <c r="H774" s="5" t="s">
        <v>20</v>
      </c>
      <c r="I774" s="5" t="s">
        <v>1973</v>
      </c>
      <c r="J774" s="12" t="str">
        <f>HYPERLINK("https://www.boe.es/gazeta/dias/1807/12/08/pdfs/GMD-1807-109.pdf#page=2","Abrir facsímil")</f>
        <v>Abrir facsímil</v>
      </c>
      <c r="K774" s="15" t="s">
        <v>22</v>
      </c>
    </row>
    <row r="775" spans="1:11" ht="42" customHeight="1">
      <c r="A775" s="4" t="s">
        <v>1968</v>
      </c>
      <c r="B775" s="5" t="s">
        <v>1969</v>
      </c>
      <c r="C775" s="5" t="s">
        <v>28</v>
      </c>
      <c r="D775" s="5" t="s">
        <v>29</v>
      </c>
      <c r="E775" s="5" t="s">
        <v>361</v>
      </c>
      <c r="F775" s="9">
        <v>113</v>
      </c>
      <c r="G775" s="9">
        <v>1324</v>
      </c>
      <c r="H775" s="5" t="s">
        <v>20</v>
      </c>
      <c r="I775" s="5" t="s">
        <v>1974</v>
      </c>
      <c r="J775" s="12" t="str">
        <f>HYPERLINK("https://www.boe.es/gazeta/dias/1807/12/22/pdfs/GMD-1807-113.pdf#page=12","Abrir facsímil")</f>
        <v>Abrir facsímil</v>
      </c>
      <c r="K775" s="15" t="s">
        <v>22</v>
      </c>
    </row>
    <row r="776" spans="1:11" ht="42" customHeight="1">
      <c r="A776" s="4" t="s">
        <v>1975</v>
      </c>
      <c r="B776" s="5" t="s">
        <v>1976</v>
      </c>
      <c r="C776" s="5" t="s">
        <v>24</v>
      </c>
      <c r="D776" s="5" t="s">
        <v>18</v>
      </c>
      <c r="E776" s="5" t="s">
        <v>530</v>
      </c>
      <c r="F776" s="9">
        <v>79</v>
      </c>
      <c r="G776" s="9">
        <v>923</v>
      </c>
      <c r="H776" s="5" t="s">
        <v>20</v>
      </c>
      <c r="I776" s="5" t="s">
        <v>1977</v>
      </c>
      <c r="J776" s="12" t="str">
        <f>HYPERLINK("https://www.boe.es/gazeta/dias/1807/09/04/pdfs/GMD-1807-79.pdf#page=15","Abrir facsímil")</f>
        <v>Abrir facsímil</v>
      </c>
      <c r="K776" s="15" t="s">
        <v>22</v>
      </c>
    </row>
    <row r="777" spans="1:11" ht="42" customHeight="1">
      <c r="A777" s="4" t="s">
        <v>1978</v>
      </c>
      <c r="B777" s="5" t="s">
        <v>1979</v>
      </c>
      <c r="C777" s="5" t="s">
        <v>24</v>
      </c>
      <c r="D777" s="5" t="s">
        <v>18</v>
      </c>
      <c r="E777" s="5" t="s">
        <v>152</v>
      </c>
      <c r="F777" s="9">
        <v>61</v>
      </c>
      <c r="G777" s="9">
        <v>722</v>
      </c>
      <c r="H777" s="5" t="s">
        <v>20</v>
      </c>
      <c r="I777" s="5" t="s">
        <v>1980</v>
      </c>
      <c r="J777" s="12" t="str">
        <f>HYPERLINK("https://www.boe.es/gazeta/dias/1807/07/14/pdfs/GMD-1807-61.pdf#page=8","Abrir facsímil")</f>
        <v>Abrir facsímil</v>
      </c>
      <c r="K777" s="15" t="s">
        <v>22</v>
      </c>
    </row>
    <row r="778" spans="1:11" ht="42" customHeight="1">
      <c r="A778" s="4" t="s">
        <v>1978</v>
      </c>
      <c r="B778" s="5" t="s">
        <v>1979</v>
      </c>
      <c r="C778" s="5" t="s">
        <v>24</v>
      </c>
      <c r="D778" s="5" t="s">
        <v>18</v>
      </c>
      <c r="E778" s="5" t="s">
        <v>1456</v>
      </c>
      <c r="F778" s="9">
        <v>98</v>
      </c>
      <c r="G778" s="9">
        <v>1142</v>
      </c>
      <c r="H778" s="5" t="s">
        <v>20</v>
      </c>
      <c r="I778" s="5" t="s">
        <v>1981</v>
      </c>
      <c r="J778" s="12" t="str">
        <f>HYPERLINK("https://www.boe.es/gazeta/dias/1807/11/03/pdfs/GMD-1807-98.pdf#page=10","Abrir facsímil")</f>
        <v>Abrir facsímil</v>
      </c>
      <c r="K778" s="15" t="s">
        <v>22</v>
      </c>
    </row>
    <row r="779" spans="1:11" ht="42" customHeight="1">
      <c r="A779" s="4" t="s">
        <v>1978</v>
      </c>
      <c r="B779" s="5" t="s">
        <v>1979</v>
      </c>
      <c r="C779" s="5" t="s">
        <v>24</v>
      </c>
      <c r="D779" s="5" t="s">
        <v>18</v>
      </c>
      <c r="E779" s="5" t="s">
        <v>139</v>
      </c>
      <c r="F779" s="9">
        <v>110</v>
      </c>
      <c r="G779" s="9">
        <v>1285</v>
      </c>
      <c r="H779" s="5" t="s">
        <v>20</v>
      </c>
      <c r="I779" s="5" t="s">
        <v>1982</v>
      </c>
      <c r="J779" s="12" t="str">
        <f>HYPERLINK("https://www.boe.es/gazeta/dias/1807/12/11/pdfs/GMD-1807-110.pdf#page=9","Abrir facsímil")</f>
        <v>Abrir facsímil</v>
      </c>
      <c r="K779" s="15" t="s">
        <v>22</v>
      </c>
    </row>
    <row r="780" spans="1:11" ht="42" customHeight="1">
      <c r="A780" s="4" t="s">
        <v>1978</v>
      </c>
      <c r="B780" s="5" t="s">
        <v>1979</v>
      </c>
      <c r="C780" s="5" t="s">
        <v>24</v>
      </c>
      <c r="D780" s="5" t="s">
        <v>18</v>
      </c>
      <c r="E780" s="5" t="s">
        <v>384</v>
      </c>
      <c r="F780" s="9">
        <v>111</v>
      </c>
      <c r="G780" s="9">
        <v>1298</v>
      </c>
      <c r="H780" s="5" t="s">
        <v>20</v>
      </c>
      <c r="I780" s="5" t="s">
        <v>1983</v>
      </c>
      <c r="J780" s="12" t="str">
        <f>HYPERLINK("https://www.boe.es/gazeta/dias/1807/12/15/pdfs/GMD-1807-111.pdf#page=10","Abrir facsímil")</f>
        <v>Abrir facsímil</v>
      </c>
      <c r="K780" s="15" t="s">
        <v>22</v>
      </c>
    </row>
    <row r="781" spans="1:11" ht="42" customHeight="1">
      <c r="A781" s="4" t="s">
        <v>1984</v>
      </c>
      <c r="B781" s="5" t="s">
        <v>1984</v>
      </c>
      <c r="C781" s="5" t="s">
        <v>49</v>
      </c>
      <c r="D781" s="5" t="s">
        <v>50</v>
      </c>
      <c r="E781" s="5" t="s">
        <v>104</v>
      </c>
      <c r="F781" s="9">
        <v>25</v>
      </c>
      <c r="G781" s="9">
        <v>299</v>
      </c>
      <c r="H781" s="5" t="s">
        <v>20</v>
      </c>
      <c r="I781" s="5" t="s">
        <v>1985</v>
      </c>
      <c r="J781" s="12" t="str">
        <f>HYPERLINK("https://www.boe.es/gazeta/dias/1807/03/17/pdfs/GMD-1807-25.pdf#page=7","Abrir facsímil")</f>
        <v>Abrir facsímil</v>
      </c>
      <c r="K781" s="15" t="s">
        <v>22</v>
      </c>
    </row>
    <row r="782" spans="1:11" ht="42" customHeight="1">
      <c r="A782" s="4" t="s">
        <v>1986</v>
      </c>
      <c r="B782" s="5" t="s">
        <v>1987</v>
      </c>
      <c r="C782" s="5" t="s">
        <v>34</v>
      </c>
      <c r="D782" s="5" t="s">
        <v>35</v>
      </c>
      <c r="E782" s="5" t="s">
        <v>461</v>
      </c>
      <c r="F782" s="9">
        <v>99</v>
      </c>
      <c r="G782" s="9">
        <v>1153</v>
      </c>
      <c r="H782" s="5" t="s">
        <v>20</v>
      </c>
      <c r="I782" s="5" t="s">
        <v>1988</v>
      </c>
      <c r="J782" s="12" t="str">
        <f>HYPERLINK("https://www.boe.es/gazeta/dias/1807/11/06/pdfs/GMD-1807-99.pdf#page=9","Abrir facsímil")</f>
        <v>Abrir facsímil</v>
      </c>
      <c r="K782" s="15" t="s">
        <v>22</v>
      </c>
    </row>
    <row r="783" spans="1:11" ht="42" customHeight="1">
      <c r="A783" s="4" t="s">
        <v>1989</v>
      </c>
      <c r="B783" s="5" t="s">
        <v>1990</v>
      </c>
      <c r="C783" s="5" t="s">
        <v>34</v>
      </c>
      <c r="D783" s="5" t="s">
        <v>35</v>
      </c>
      <c r="E783" s="5" t="s">
        <v>321</v>
      </c>
      <c r="F783" s="9">
        <v>75</v>
      </c>
      <c r="G783" s="9">
        <v>867</v>
      </c>
      <c r="H783" s="5" t="s">
        <v>20</v>
      </c>
      <c r="I783" s="5" t="s">
        <v>1991</v>
      </c>
      <c r="J783" s="12" t="str">
        <f>HYPERLINK("https://www.boe.es/gazeta/dias/1807/08/21/pdfs/GMD-1807-75.pdf#page=7","Abrir facsímil")</f>
        <v>Abrir facsímil</v>
      </c>
      <c r="K783" s="15" t="s">
        <v>22</v>
      </c>
    </row>
    <row r="784" spans="1:11" ht="42" customHeight="1">
      <c r="A784" s="4" t="s">
        <v>1992</v>
      </c>
      <c r="B784" s="5" t="s">
        <v>1993</v>
      </c>
      <c r="C784" s="5" t="s">
        <v>49</v>
      </c>
      <c r="D784" s="5" t="s">
        <v>50</v>
      </c>
      <c r="E784" s="5" t="s">
        <v>86</v>
      </c>
      <c r="F784" s="9">
        <v>12</v>
      </c>
      <c r="G784" s="9">
        <v>134</v>
      </c>
      <c r="H784" s="5" t="s">
        <v>20</v>
      </c>
      <c r="I784" s="5" t="s">
        <v>1994</v>
      </c>
      <c r="J784" s="12" t="str">
        <f>HYPERLINK("https://www.boe.es/gazeta/dias/1807/02/03/pdfs/GMD-1807-12.pdf#page=6","Abrir facsímil")</f>
        <v>Abrir facsímil</v>
      </c>
      <c r="K784" s="15" t="s">
        <v>22</v>
      </c>
    </row>
    <row r="785" spans="1:11" ht="42" customHeight="1">
      <c r="A785" s="4" t="s">
        <v>1995</v>
      </c>
      <c r="B785" s="5" t="s">
        <v>1996</v>
      </c>
      <c r="C785" s="5" t="s">
        <v>34</v>
      </c>
      <c r="D785" s="5" t="s">
        <v>35</v>
      </c>
      <c r="E785" s="5" t="s">
        <v>444</v>
      </c>
      <c r="F785" s="9">
        <v>95</v>
      </c>
      <c r="G785" s="9">
        <v>1105</v>
      </c>
      <c r="H785" s="5" t="s">
        <v>20</v>
      </c>
      <c r="I785" s="5" t="s">
        <v>1997</v>
      </c>
      <c r="J785" s="12" t="str">
        <f>HYPERLINK("https://www.boe.es/gazeta/dias/1807/10/23/pdfs/GMD-1807-95.pdf#page=9","Abrir facsímil")</f>
        <v>Abrir facsímil</v>
      </c>
      <c r="K785" s="15" t="s">
        <v>22</v>
      </c>
    </row>
    <row r="786" spans="1:11" ht="42" customHeight="1">
      <c r="A786" s="4" t="s">
        <v>1998</v>
      </c>
      <c r="B786" s="5" t="s">
        <v>1999</v>
      </c>
      <c r="C786" s="5" t="s">
        <v>34</v>
      </c>
      <c r="D786" s="5" t="s">
        <v>35</v>
      </c>
      <c r="E786" s="5" t="s">
        <v>123</v>
      </c>
      <c r="F786" s="9">
        <v>70</v>
      </c>
      <c r="G786" s="9">
        <v>806</v>
      </c>
      <c r="H786" s="5" t="s">
        <v>20</v>
      </c>
      <c r="I786" s="5" t="s">
        <v>2000</v>
      </c>
      <c r="J786" s="12" t="str">
        <f>HYPERLINK("https://www.boe.es/gazeta/dias/1807/08/04/pdfs/GMD-1807-70.pdf#page=10","Abrir facsímil")</f>
        <v>Abrir facsímil</v>
      </c>
      <c r="K786" s="15" t="s">
        <v>22</v>
      </c>
    </row>
    <row r="787" spans="1:11" ht="42" customHeight="1">
      <c r="A787" s="4" t="s">
        <v>2001</v>
      </c>
      <c r="B787" s="5" t="s">
        <v>2002</v>
      </c>
      <c r="C787" s="5" t="s">
        <v>34</v>
      </c>
      <c r="D787" s="5" t="s">
        <v>35</v>
      </c>
      <c r="E787" s="5" t="s">
        <v>1456</v>
      </c>
      <c r="F787" s="9">
        <v>98</v>
      </c>
      <c r="G787" s="9">
        <v>1141</v>
      </c>
      <c r="H787" s="5" t="s">
        <v>20</v>
      </c>
      <c r="I787" s="5" t="s">
        <v>2003</v>
      </c>
      <c r="J787" s="12" t="str">
        <f>HYPERLINK("https://www.boe.es/gazeta/dias/1807/11/03/pdfs/GMD-1807-98.pdf#page=9","Abrir facsímil")</f>
        <v>Abrir facsímil</v>
      </c>
      <c r="K787" s="15" t="s">
        <v>22</v>
      </c>
    </row>
    <row r="788" spans="1:11" ht="42" customHeight="1">
      <c r="A788" s="4" t="s">
        <v>2004</v>
      </c>
      <c r="B788" s="5" t="s">
        <v>2005</v>
      </c>
      <c r="C788" s="5" t="s">
        <v>89</v>
      </c>
      <c r="D788" s="5" t="s">
        <v>90</v>
      </c>
      <c r="E788" s="5" t="s">
        <v>208</v>
      </c>
      <c r="F788" s="9">
        <v>42</v>
      </c>
      <c r="G788" s="9">
        <v>506</v>
      </c>
      <c r="H788" s="5" t="s">
        <v>20</v>
      </c>
      <c r="I788" s="5" t="s">
        <v>2006</v>
      </c>
      <c r="J788" s="12" t="str">
        <f>HYPERLINK("https://www.boe.es/gazeta/dias/1807/05/15/pdfs/GMD-1807-42.pdf#page=12","Abrir facsímil")</f>
        <v>Abrir facsímil</v>
      </c>
      <c r="K788" s="15" t="s">
        <v>22</v>
      </c>
    </row>
    <row r="789" spans="1:11" ht="42" customHeight="1">
      <c r="A789" s="4" t="s">
        <v>2007</v>
      </c>
      <c r="B789" s="5" t="s">
        <v>2008</v>
      </c>
      <c r="C789" s="5" t="s">
        <v>28</v>
      </c>
      <c r="D789" s="5" t="s">
        <v>29</v>
      </c>
      <c r="E789" s="5" t="s">
        <v>426</v>
      </c>
      <c r="F789" s="9">
        <v>93</v>
      </c>
      <c r="G789" s="9">
        <v>1082</v>
      </c>
      <c r="H789" s="5" t="s">
        <v>20</v>
      </c>
      <c r="I789" s="5" t="s">
        <v>2009</v>
      </c>
      <c r="J789" s="12" t="str">
        <f>HYPERLINK("https://www.boe.es/gazeta/dias/1807/10/16/pdfs/GMD-1807-93.pdf#page=10","Abrir facsímil")</f>
        <v>Abrir facsímil</v>
      </c>
      <c r="K789" s="15" t="s">
        <v>22</v>
      </c>
    </row>
    <row r="790" spans="1:11" ht="42" customHeight="1">
      <c r="A790" s="4" t="s">
        <v>2010</v>
      </c>
      <c r="B790" s="5" t="s">
        <v>2011</v>
      </c>
      <c r="C790" s="5" t="s">
        <v>24</v>
      </c>
      <c r="D790" s="5" t="s">
        <v>18</v>
      </c>
      <c r="E790" s="5" t="s">
        <v>530</v>
      </c>
      <c r="F790" s="9">
        <v>79</v>
      </c>
      <c r="G790" s="9">
        <v>924</v>
      </c>
      <c r="H790" s="5" t="s">
        <v>20</v>
      </c>
      <c r="I790" s="5" t="s">
        <v>2012</v>
      </c>
      <c r="J790" s="12" t="str">
        <f>HYPERLINK("https://www.boe.es/gazeta/dias/1807/09/04/pdfs/GMD-1807-79.pdf#page=16","Abrir facsímil")</f>
        <v>Abrir facsímil</v>
      </c>
      <c r="K790" s="15" t="s">
        <v>22</v>
      </c>
    </row>
    <row r="791" spans="1:11" ht="42" customHeight="1">
      <c r="A791" s="4" t="s">
        <v>2013</v>
      </c>
      <c r="B791" s="5" t="s">
        <v>2014</v>
      </c>
      <c r="C791" s="5" t="s">
        <v>28</v>
      </c>
      <c r="D791" s="5" t="s">
        <v>29</v>
      </c>
      <c r="E791" s="5" t="s">
        <v>309</v>
      </c>
      <c r="F791" s="9">
        <v>107</v>
      </c>
      <c r="G791" s="9">
        <v>1248</v>
      </c>
      <c r="H791" s="5" t="s">
        <v>20</v>
      </c>
      <c r="I791" s="5" t="s">
        <v>2015</v>
      </c>
      <c r="J791" s="12" t="str">
        <f>HYPERLINK("https://www.boe.es/gazeta/dias/1807/12/01/pdfs/GMD-1807-107.pdf#page=8","Abrir facsímil")</f>
        <v>Abrir facsímil</v>
      </c>
      <c r="K791" s="15" t="s">
        <v>22</v>
      </c>
    </row>
    <row r="792" spans="1:11" ht="42" customHeight="1">
      <c r="A792" s="4" t="s">
        <v>2016</v>
      </c>
      <c r="B792" s="5" t="s">
        <v>2017</v>
      </c>
      <c r="C792" s="5" t="s">
        <v>34</v>
      </c>
      <c r="D792" s="5" t="s">
        <v>35</v>
      </c>
      <c r="E792" s="5" t="s">
        <v>245</v>
      </c>
      <c r="F792" s="9">
        <v>97</v>
      </c>
      <c r="G792" s="9">
        <v>1127</v>
      </c>
      <c r="H792" s="5" t="s">
        <v>20</v>
      </c>
      <c r="I792" s="5" t="s">
        <v>2018</v>
      </c>
      <c r="J792" s="12" t="str">
        <f>HYPERLINK("https://www.boe.es/gazeta/dias/1807/10/30/pdfs/GMD-1807-97.pdf#page=7","Abrir facsímil")</f>
        <v>Abrir facsímil</v>
      </c>
      <c r="K792" s="15" t="s">
        <v>22</v>
      </c>
    </row>
    <row r="793" spans="1:11" ht="42" customHeight="1">
      <c r="A793" s="4" t="s">
        <v>2019</v>
      </c>
      <c r="B793" s="5" t="s">
        <v>2020</v>
      </c>
      <c r="C793" s="5" t="s">
        <v>34</v>
      </c>
      <c r="D793" s="5" t="s">
        <v>35</v>
      </c>
      <c r="E793" s="5" t="s">
        <v>76</v>
      </c>
      <c r="F793" s="9">
        <v>7</v>
      </c>
      <c r="G793" s="9">
        <v>78</v>
      </c>
      <c r="H793" s="5" t="s">
        <v>20</v>
      </c>
      <c r="I793" s="5" t="s">
        <v>2021</v>
      </c>
      <c r="J793" s="12" t="str">
        <f>HYPERLINK("https://www.boe.es/gazeta/dias/1807/01/20/pdfs/GMD-1807-7.pdf#page=10","Abrir facsímil")</f>
        <v>Abrir facsímil</v>
      </c>
      <c r="K793" s="15" t="s">
        <v>22</v>
      </c>
    </row>
    <row r="794" spans="1:11" ht="42" customHeight="1">
      <c r="A794" s="4" t="s">
        <v>2019</v>
      </c>
      <c r="B794" s="5" t="s">
        <v>2020</v>
      </c>
      <c r="C794" s="5" t="s">
        <v>34</v>
      </c>
      <c r="D794" s="5" t="s">
        <v>35</v>
      </c>
      <c r="E794" s="5" t="s">
        <v>314</v>
      </c>
      <c r="F794" s="9" t="s">
        <v>315</v>
      </c>
      <c r="G794" s="9">
        <v>1220</v>
      </c>
      <c r="H794" s="5" t="s">
        <v>20</v>
      </c>
      <c r="I794" s="5" t="s">
        <v>2022</v>
      </c>
      <c r="J794" s="12" t="str">
        <f>HYPERLINK("https://www.boe.es/gazeta/dias/1807/11/26/pdfs/GMD-1807-105E.pdf#page=4","Abrir facsímil")</f>
        <v>Abrir facsímil</v>
      </c>
      <c r="K794" s="15" t="s">
        <v>22</v>
      </c>
    </row>
    <row r="795" spans="1:11" ht="42" customHeight="1">
      <c r="A795" s="4" t="s">
        <v>2019</v>
      </c>
      <c r="B795" s="5" t="s">
        <v>2020</v>
      </c>
      <c r="C795" s="5" t="s">
        <v>252</v>
      </c>
      <c r="D795" s="5" t="s">
        <v>253</v>
      </c>
      <c r="E795" s="5" t="s">
        <v>314</v>
      </c>
      <c r="F795" s="9" t="s">
        <v>315</v>
      </c>
      <c r="G795" s="9">
        <v>1221</v>
      </c>
      <c r="H795" s="5" t="s">
        <v>20</v>
      </c>
      <c r="I795" s="5" t="s">
        <v>2023</v>
      </c>
      <c r="J795" s="12" t="str">
        <f>HYPERLINK("https://www.boe.es/gazeta/dias/1807/11/26/pdfs/GMD-1807-105E.pdf#page=5","Abrir facsímil")</f>
        <v>Abrir facsímil</v>
      </c>
      <c r="K795" s="15" t="s">
        <v>22</v>
      </c>
    </row>
    <row r="796" spans="1:11" ht="42" customHeight="1">
      <c r="A796" s="4" t="s">
        <v>2024</v>
      </c>
      <c r="B796" s="5" t="s">
        <v>2025</v>
      </c>
      <c r="C796" s="5" t="s">
        <v>49</v>
      </c>
      <c r="D796" s="5" t="s">
        <v>50</v>
      </c>
      <c r="E796" s="5" t="s">
        <v>471</v>
      </c>
      <c r="F796" s="9">
        <v>51</v>
      </c>
      <c r="G796" s="9">
        <v>602</v>
      </c>
      <c r="H796" s="5" t="s">
        <v>20</v>
      </c>
      <c r="I796" s="5" t="s">
        <v>2026</v>
      </c>
      <c r="J796" s="12" t="str">
        <f>HYPERLINK("https://www.boe.es/gazeta/dias/1807/06/16/pdfs/GMD-1807-51.pdf#page=4","Abrir facsímil")</f>
        <v>Abrir facsímil</v>
      </c>
      <c r="K796" s="15" t="s">
        <v>22</v>
      </c>
    </row>
    <row r="797" spans="1:11" ht="42" customHeight="1">
      <c r="A797" s="4" t="s">
        <v>2027</v>
      </c>
      <c r="B797" s="5" t="s">
        <v>2028</v>
      </c>
      <c r="C797" s="5" t="s">
        <v>17</v>
      </c>
      <c r="D797" s="5" t="s">
        <v>18</v>
      </c>
      <c r="E797" s="5" t="s">
        <v>361</v>
      </c>
      <c r="F797" s="9">
        <v>113</v>
      </c>
      <c r="G797" s="9">
        <v>1322</v>
      </c>
      <c r="H797" s="5" t="s">
        <v>20</v>
      </c>
      <c r="I797" s="5" t="s">
        <v>2029</v>
      </c>
      <c r="J797" s="12" t="str">
        <f>HYPERLINK("https://www.boe.es/gazeta/dias/1807/12/22/pdfs/GMD-1807-113.pdf#page=10","Abrir facsímil")</f>
        <v>Abrir facsímil</v>
      </c>
      <c r="K797" s="15" t="s">
        <v>22</v>
      </c>
    </row>
    <row r="798" spans="1:11" ht="42" customHeight="1">
      <c r="A798" s="4" t="s">
        <v>2030</v>
      </c>
      <c r="B798" s="5" t="s">
        <v>2031</v>
      </c>
      <c r="C798" s="5" t="s">
        <v>17</v>
      </c>
      <c r="D798" s="5" t="s">
        <v>18</v>
      </c>
      <c r="E798" s="5" t="s">
        <v>666</v>
      </c>
      <c r="F798" s="9">
        <v>43</v>
      </c>
      <c r="G798" s="9">
        <v>515</v>
      </c>
      <c r="H798" s="5" t="s">
        <v>20</v>
      </c>
      <c r="I798" s="5" t="s">
        <v>2032</v>
      </c>
      <c r="J798" s="12" t="str">
        <f>HYPERLINK("https://www.boe.es/gazeta/dias/1807/05/19/pdfs/GMD-1807-43.pdf#page=9","Abrir facsímil")</f>
        <v>Abrir facsímil</v>
      </c>
      <c r="K798" s="15" t="s">
        <v>22</v>
      </c>
    </row>
    <row r="799" spans="1:11" ht="42" customHeight="1">
      <c r="A799" s="4" t="s">
        <v>2033</v>
      </c>
      <c r="B799" s="5" t="s">
        <v>2034</v>
      </c>
      <c r="C799" s="5" t="s">
        <v>17</v>
      </c>
      <c r="D799" s="5" t="s">
        <v>18</v>
      </c>
      <c r="E799" s="5" t="s">
        <v>51</v>
      </c>
      <c r="F799" s="9">
        <v>62</v>
      </c>
      <c r="G799" s="9">
        <v>732</v>
      </c>
      <c r="H799" s="5" t="s">
        <v>20</v>
      </c>
      <c r="I799" s="5" t="s">
        <v>2035</v>
      </c>
      <c r="J799" s="12" t="str">
        <f>HYPERLINK("https://www.boe.es/gazeta/dias/1807/07/17/pdfs/GMD-1807-62.pdf#page=6","Abrir facsímil")</f>
        <v>Abrir facsímil</v>
      </c>
      <c r="K799" s="15" t="s">
        <v>22</v>
      </c>
    </row>
    <row r="800" spans="1:11" ht="42" customHeight="1">
      <c r="A800" s="4" t="s">
        <v>2036</v>
      </c>
      <c r="B800" s="5" t="s">
        <v>2037</v>
      </c>
      <c r="C800" s="5" t="s">
        <v>34</v>
      </c>
      <c r="D800" s="5" t="s">
        <v>35</v>
      </c>
      <c r="E800" s="5" t="s">
        <v>327</v>
      </c>
      <c r="F800" s="9">
        <v>108</v>
      </c>
      <c r="G800" s="9">
        <v>1261</v>
      </c>
      <c r="H800" s="5" t="s">
        <v>20</v>
      </c>
      <c r="I800" s="5" t="s">
        <v>2038</v>
      </c>
      <c r="J800" s="12" t="str">
        <f>HYPERLINK("https://www.boe.es/gazeta/dias/1807/12/04/pdfs/GMD-1807-108.pdf#page=9","Abrir facsímil")</f>
        <v>Abrir facsímil</v>
      </c>
      <c r="K800" s="15" t="s">
        <v>22</v>
      </c>
    </row>
    <row r="801" spans="1:11" ht="42" customHeight="1">
      <c r="A801" s="4" t="s">
        <v>2039</v>
      </c>
      <c r="B801" s="5" t="s">
        <v>2040</v>
      </c>
      <c r="C801" s="5" t="s">
        <v>28</v>
      </c>
      <c r="D801" s="5" t="s">
        <v>29</v>
      </c>
      <c r="E801" s="5" t="s">
        <v>346</v>
      </c>
      <c r="F801" s="9">
        <v>21</v>
      </c>
      <c r="G801" s="9">
        <v>245</v>
      </c>
      <c r="H801" s="5" t="s">
        <v>20</v>
      </c>
      <c r="I801" s="5" t="s">
        <v>2041</v>
      </c>
      <c r="J801" s="12" t="str">
        <f>HYPERLINK("https://www.boe.es/gazeta/dias/1807/03/03/pdfs/GMD-1807-21.pdf#page=9","Abrir facsímil")</f>
        <v>Abrir facsímil</v>
      </c>
      <c r="K801" s="15" t="s">
        <v>22</v>
      </c>
    </row>
    <row r="802" spans="1:11" ht="42" customHeight="1">
      <c r="A802" s="4" t="s">
        <v>2042</v>
      </c>
      <c r="B802" s="5" t="s">
        <v>2043</v>
      </c>
      <c r="C802" s="5" t="s">
        <v>34</v>
      </c>
      <c r="D802" s="5" t="s">
        <v>35</v>
      </c>
      <c r="E802" s="5" t="s">
        <v>266</v>
      </c>
      <c r="F802" s="9">
        <v>67</v>
      </c>
      <c r="G802" s="9">
        <v>773</v>
      </c>
      <c r="H802" s="5" t="s">
        <v>20</v>
      </c>
      <c r="I802" s="5" t="s">
        <v>2044</v>
      </c>
      <c r="J802" s="12" t="str">
        <f>HYPERLINK("https://www.boe.es/gazeta/dias/1807/07/28/pdfs/GMD-1807-67.pdf#page=9","Abrir facsímil")</f>
        <v>Abrir facsímil</v>
      </c>
      <c r="K802" s="15" t="s">
        <v>22</v>
      </c>
    </row>
    <row r="803" spans="1:11" ht="42" customHeight="1">
      <c r="A803" s="4" t="s">
        <v>2045</v>
      </c>
      <c r="B803" s="5" t="s">
        <v>2045</v>
      </c>
      <c r="C803" s="5" t="s">
        <v>17</v>
      </c>
      <c r="D803" s="5" t="s">
        <v>18</v>
      </c>
      <c r="E803" s="5" t="s">
        <v>176</v>
      </c>
      <c r="F803" s="9">
        <v>17</v>
      </c>
      <c r="G803" s="9">
        <v>195</v>
      </c>
      <c r="H803" s="5" t="s">
        <v>20</v>
      </c>
      <c r="I803" s="5" t="s">
        <v>2046</v>
      </c>
      <c r="J803" s="12" t="str">
        <f>HYPERLINK("https://www.boe.es/gazeta/dias/1807/02/20/pdfs/GMD-1807-17.pdf#page=7","Abrir facsímil")</f>
        <v>Abrir facsímil</v>
      </c>
      <c r="K803" s="15" t="s">
        <v>22</v>
      </c>
    </row>
    <row r="804" spans="1:11" ht="42" customHeight="1">
      <c r="A804" s="4" t="s">
        <v>2047</v>
      </c>
      <c r="B804" s="5" t="s">
        <v>2048</v>
      </c>
      <c r="C804" s="5" t="s">
        <v>24</v>
      </c>
      <c r="D804" s="5" t="s">
        <v>18</v>
      </c>
      <c r="E804" s="5" t="s">
        <v>98</v>
      </c>
      <c r="F804" s="9">
        <v>34</v>
      </c>
      <c r="G804" s="9">
        <v>404</v>
      </c>
      <c r="H804" s="5" t="s">
        <v>20</v>
      </c>
      <c r="I804" s="5" t="s">
        <v>2049</v>
      </c>
      <c r="J804" s="12" t="str">
        <f>HYPERLINK("https://www.boe.es/gazeta/dias/1807/04/17/pdfs/GMD-1807-34.pdf#page=8","Abrir facsímil")</f>
        <v>Abrir facsímil</v>
      </c>
      <c r="K804" s="15" t="s">
        <v>22</v>
      </c>
    </row>
    <row r="805" spans="1:11" ht="42" customHeight="1">
      <c r="A805" s="4" t="s">
        <v>2050</v>
      </c>
      <c r="B805" s="5" t="s">
        <v>2051</v>
      </c>
      <c r="C805" s="5" t="s">
        <v>24</v>
      </c>
      <c r="D805" s="5" t="s">
        <v>18</v>
      </c>
      <c r="E805" s="5" t="s">
        <v>215</v>
      </c>
      <c r="F805" s="9">
        <v>5</v>
      </c>
      <c r="G805" s="9">
        <v>51</v>
      </c>
      <c r="H805" s="5" t="s">
        <v>20</v>
      </c>
      <c r="I805" s="5" t="s">
        <v>2052</v>
      </c>
      <c r="J805" s="12" t="str">
        <f>HYPERLINK("https://www.boe.es/gazeta/dias/1807/01/16/pdfs/GMD-1807-5.pdf#page=7","Abrir facsímil")</f>
        <v>Abrir facsímil</v>
      </c>
      <c r="K805" s="15" t="s">
        <v>22</v>
      </c>
    </row>
    <row r="806" spans="1:11" ht="42" customHeight="1">
      <c r="A806" s="4" t="s">
        <v>2053</v>
      </c>
      <c r="B806" s="5" t="s">
        <v>2054</v>
      </c>
      <c r="C806" s="5" t="s">
        <v>69</v>
      </c>
      <c r="D806" s="5" t="s">
        <v>70</v>
      </c>
      <c r="E806" s="5" t="s">
        <v>71</v>
      </c>
      <c r="F806" s="9">
        <v>35</v>
      </c>
      <c r="G806" s="9" t="s">
        <v>2055</v>
      </c>
      <c r="H806" s="5" t="s">
        <v>20</v>
      </c>
      <c r="I806" s="5" t="s">
        <v>2056</v>
      </c>
      <c r="J806" s="12" t="str">
        <f>HYPERLINK("https://www.boe.es/gazeta/dias/1807/04/21/pdfs/C00001-00004.pdf#page=2","Abrir facsímil")</f>
        <v>Abrir facsímil</v>
      </c>
      <c r="K806" s="15" t="s">
        <v>22</v>
      </c>
    </row>
    <row r="807" spans="1:11" ht="42" customHeight="1">
      <c r="A807" s="4" t="s">
        <v>2057</v>
      </c>
      <c r="B807" s="5" t="s">
        <v>2058</v>
      </c>
      <c r="C807" s="5" t="s">
        <v>34</v>
      </c>
      <c r="D807" s="5" t="s">
        <v>35</v>
      </c>
      <c r="E807" s="5" t="s">
        <v>471</v>
      </c>
      <c r="F807" s="9">
        <v>51</v>
      </c>
      <c r="G807" s="9">
        <v>606</v>
      </c>
      <c r="H807" s="5" t="s">
        <v>20</v>
      </c>
      <c r="I807" s="5" t="s">
        <v>2059</v>
      </c>
      <c r="J807" s="12" t="str">
        <f>HYPERLINK("https://www.boe.es/gazeta/dias/1807/06/16/pdfs/GMD-1807-51.pdf#page=8","Abrir facsímil")</f>
        <v>Abrir facsímil</v>
      </c>
      <c r="K807" s="15" t="s">
        <v>22</v>
      </c>
    </row>
    <row r="808" spans="1:11" ht="42" customHeight="1">
      <c r="A808" s="4" t="s">
        <v>2060</v>
      </c>
      <c r="B808" s="5" t="s">
        <v>2060</v>
      </c>
      <c r="C808" s="5" t="s">
        <v>89</v>
      </c>
      <c r="D808" s="5" t="s">
        <v>90</v>
      </c>
      <c r="E808" s="5" t="s">
        <v>464</v>
      </c>
      <c r="F808" s="9">
        <v>18</v>
      </c>
      <c r="G808" s="9">
        <v>216</v>
      </c>
      <c r="H808" s="5" t="s">
        <v>20</v>
      </c>
      <c r="I808" s="5" t="s">
        <v>2061</v>
      </c>
      <c r="J808" s="12" t="str">
        <f>HYPERLINK("https://www.boe.es/gazeta/dias/1807/02/24/pdfs/GMD-1807-18.pdf#page=16","Abrir facsímil")</f>
        <v>Abrir facsímil</v>
      </c>
      <c r="K808" s="15" t="s">
        <v>22</v>
      </c>
    </row>
    <row r="809" spans="1:11" ht="42" customHeight="1">
      <c r="A809" s="4" t="s">
        <v>2062</v>
      </c>
      <c r="B809" s="5" t="s">
        <v>2063</v>
      </c>
      <c r="C809" s="5" t="s">
        <v>34</v>
      </c>
      <c r="D809" s="5" t="s">
        <v>35</v>
      </c>
      <c r="E809" s="5" t="s">
        <v>30</v>
      </c>
      <c r="F809" s="9">
        <v>13</v>
      </c>
      <c r="G809" s="9">
        <v>149</v>
      </c>
      <c r="H809" s="5" t="s">
        <v>20</v>
      </c>
      <c r="I809" s="5" t="s">
        <v>2064</v>
      </c>
      <c r="J809" s="12" t="str">
        <f>HYPERLINK("https://www.boe.es/gazeta/dias/1807/02/06/pdfs/GMD-1807-13.pdf#page=9","Abrir facsímil")</f>
        <v>Abrir facsímil</v>
      </c>
      <c r="K809" s="15" t="s">
        <v>22</v>
      </c>
    </row>
    <row r="810" spans="1:11" ht="42" customHeight="1">
      <c r="A810" s="4" t="s">
        <v>2065</v>
      </c>
      <c r="B810" s="5" t="s">
        <v>2066</v>
      </c>
      <c r="C810" s="5" t="s">
        <v>89</v>
      </c>
      <c r="D810" s="5" t="s">
        <v>90</v>
      </c>
      <c r="E810" s="5" t="s">
        <v>120</v>
      </c>
      <c r="F810" s="9">
        <v>10</v>
      </c>
      <c r="G810" s="9">
        <v>115</v>
      </c>
      <c r="H810" s="5" t="s">
        <v>20</v>
      </c>
      <c r="I810" s="5" t="s">
        <v>2067</v>
      </c>
      <c r="J810" s="12" t="str">
        <f>HYPERLINK("https://www.boe.es/gazeta/dias/1807/01/27/pdfs/GMD-1807-10.pdf#page=11","Abrir facsímil")</f>
        <v>Abrir facsímil</v>
      </c>
      <c r="K810" s="15" t="s">
        <v>22</v>
      </c>
    </row>
    <row r="811" spans="1:11" ht="42" customHeight="1">
      <c r="A811" s="4" t="s">
        <v>2065</v>
      </c>
      <c r="B811" s="5" t="s">
        <v>2066</v>
      </c>
      <c r="C811" s="5" t="s">
        <v>89</v>
      </c>
      <c r="D811" s="5" t="s">
        <v>90</v>
      </c>
      <c r="E811" s="5" t="s">
        <v>595</v>
      </c>
      <c r="F811" s="9">
        <v>59</v>
      </c>
      <c r="G811" s="9">
        <v>706</v>
      </c>
      <c r="H811" s="5" t="s">
        <v>20</v>
      </c>
      <c r="I811" s="5" t="s">
        <v>2068</v>
      </c>
      <c r="J811" s="12" t="str">
        <f>HYPERLINK("https://www.boe.es/gazeta/dias/1807/07/10/pdfs/GMD-1807-59.pdf#page=12","Abrir facsímil")</f>
        <v>Abrir facsímil</v>
      </c>
      <c r="K811" s="15" t="s">
        <v>22</v>
      </c>
    </row>
    <row r="812" spans="1:11" ht="42" customHeight="1">
      <c r="A812" s="4" t="s">
        <v>2065</v>
      </c>
      <c r="B812" s="5" t="s">
        <v>2066</v>
      </c>
      <c r="C812" s="5" t="s">
        <v>89</v>
      </c>
      <c r="D812" s="5" t="s">
        <v>90</v>
      </c>
      <c r="E812" s="5" t="s">
        <v>296</v>
      </c>
      <c r="F812" s="9">
        <v>102</v>
      </c>
      <c r="G812" s="9">
        <v>1190</v>
      </c>
      <c r="H812" s="5" t="s">
        <v>20</v>
      </c>
      <c r="I812" s="5" t="s">
        <v>2069</v>
      </c>
      <c r="J812" s="12" t="str">
        <f>HYPERLINK("https://www.boe.es/gazeta/dias/1807/11/17/pdfs/GMD-1807-102.pdf#page=10","Abrir facsímil")</f>
        <v>Abrir facsímil</v>
      </c>
      <c r="K812" s="15" t="s">
        <v>22</v>
      </c>
    </row>
    <row r="813" spans="1:11" ht="42" customHeight="1">
      <c r="A813" s="4" t="s">
        <v>2070</v>
      </c>
      <c r="B813" s="5" t="s">
        <v>2071</v>
      </c>
      <c r="C813" s="5" t="s">
        <v>89</v>
      </c>
      <c r="D813" s="5" t="s">
        <v>90</v>
      </c>
      <c r="E813" s="5" t="s">
        <v>346</v>
      </c>
      <c r="F813" s="9">
        <v>21</v>
      </c>
      <c r="G813" s="9">
        <v>247</v>
      </c>
      <c r="H813" s="5" t="s">
        <v>20</v>
      </c>
      <c r="I813" s="5" t="s">
        <v>2072</v>
      </c>
      <c r="J813" s="12" t="str">
        <f>HYPERLINK("https://www.boe.es/gazeta/dias/1807/03/03/pdfs/GMD-1807-21.pdf#page=11","Abrir facsímil")</f>
        <v>Abrir facsímil</v>
      </c>
      <c r="K813" s="15" t="s">
        <v>22</v>
      </c>
    </row>
    <row r="814" spans="1:11" ht="42" customHeight="1">
      <c r="A814" s="4" t="s">
        <v>2073</v>
      </c>
      <c r="B814" s="5" t="s">
        <v>2074</v>
      </c>
      <c r="C814" s="5" t="s">
        <v>28</v>
      </c>
      <c r="D814" s="5" t="s">
        <v>29</v>
      </c>
      <c r="E814" s="5" t="s">
        <v>46</v>
      </c>
      <c r="F814" s="9">
        <v>78</v>
      </c>
      <c r="G814" s="9">
        <v>904</v>
      </c>
      <c r="H814" s="5" t="s">
        <v>20</v>
      </c>
      <c r="I814" s="5" t="s">
        <v>2075</v>
      </c>
      <c r="J814" s="12" t="str">
        <f>HYPERLINK("https://www.boe.es/gazeta/dias/1807/09/01/pdfs/GMD-1807-78.pdf#page=8","Abrir facsímil")</f>
        <v>Abrir facsímil</v>
      </c>
      <c r="K814" s="15" t="s">
        <v>22</v>
      </c>
    </row>
    <row r="815" spans="1:11" ht="42" customHeight="1">
      <c r="A815" s="4" t="s">
        <v>2076</v>
      </c>
      <c r="B815" s="5" t="s">
        <v>2077</v>
      </c>
      <c r="C815" s="5" t="s">
        <v>34</v>
      </c>
      <c r="D815" s="5" t="s">
        <v>35</v>
      </c>
      <c r="E815" s="5" t="s">
        <v>471</v>
      </c>
      <c r="F815" s="9">
        <v>51</v>
      </c>
      <c r="G815" s="9">
        <v>602</v>
      </c>
      <c r="H815" s="5" t="s">
        <v>20</v>
      </c>
      <c r="I815" s="5" t="s">
        <v>2078</v>
      </c>
      <c r="J815" s="12" t="str">
        <f>HYPERLINK("https://www.boe.es/gazeta/dias/1807/06/16/pdfs/GMD-1807-51.pdf#page=4","Abrir facsímil")</f>
        <v>Abrir facsímil</v>
      </c>
      <c r="K815" s="15" t="s">
        <v>22</v>
      </c>
    </row>
    <row r="816" spans="1:11" ht="42" customHeight="1">
      <c r="A816" s="4" t="s">
        <v>2079</v>
      </c>
      <c r="B816" s="5" t="s">
        <v>2080</v>
      </c>
      <c r="C816" s="5" t="s">
        <v>34</v>
      </c>
      <c r="D816" s="5" t="s">
        <v>35</v>
      </c>
      <c r="E816" s="5" t="s">
        <v>135</v>
      </c>
      <c r="F816" s="9">
        <v>80</v>
      </c>
      <c r="G816" s="9">
        <v>933</v>
      </c>
      <c r="H816" s="5" t="s">
        <v>20</v>
      </c>
      <c r="I816" s="5" t="s">
        <v>2081</v>
      </c>
      <c r="J816" s="12" t="str">
        <f>HYPERLINK("https://www.boe.es/gazeta/dias/1807/09/08/pdfs/GMD-1807-80.pdf#page=9","Abrir facsímil")</f>
        <v>Abrir facsímil</v>
      </c>
      <c r="K816" s="15" t="s">
        <v>22</v>
      </c>
    </row>
    <row r="817" spans="1:11" ht="42" customHeight="1">
      <c r="A817" s="4" t="s">
        <v>2082</v>
      </c>
      <c r="B817" s="5" t="s">
        <v>2083</v>
      </c>
      <c r="C817" s="5" t="s">
        <v>34</v>
      </c>
      <c r="D817" s="5" t="s">
        <v>35</v>
      </c>
      <c r="E817" s="5" t="s">
        <v>111</v>
      </c>
      <c r="F817" s="9">
        <v>90</v>
      </c>
      <c r="G817" s="9">
        <v>1046</v>
      </c>
      <c r="H817" s="5" t="s">
        <v>20</v>
      </c>
      <c r="I817" s="5" t="s">
        <v>2084</v>
      </c>
      <c r="J817" s="12" t="str">
        <f>HYPERLINK("https://www.boe.es/gazeta/dias/1807/10/06/pdfs/GMD-1807-90.pdf#page=14","Abrir facsímil")</f>
        <v>Abrir facsímil</v>
      </c>
      <c r="K817" s="15" t="s">
        <v>22</v>
      </c>
    </row>
    <row r="818" spans="1:11" ht="42" customHeight="1">
      <c r="A818" s="4" t="s">
        <v>2085</v>
      </c>
      <c r="B818" s="5" t="s">
        <v>2086</v>
      </c>
      <c r="C818" s="5" t="s">
        <v>34</v>
      </c>
      <c r="D818" s="5" t="s">
        <v>35</v>
      </c>
      <c r="E818" s="5" t="s">
        <v>1354</v>
      </c>
      <c r="F818" s="9">
        <v>83</v>
      </c>
      <c r="G818" s="9">
        <v>969</v>
      </c>
      <c r="H818" s="5" t="s">
        <v>20</v>
      </c>
      <c r="I818" s="5" t="s">
        <v>2087</v>
      </c>
      <c r="J818" s="12" t="str">
        <f>HYPERLINK("https://www.boe.es/gazeta/dias/1807/09/18/pdfs/GMD-1807-83.pdf#page=9","Abrir facsímil")</f>
        <v>Abrir facsímil</v>
      </c>
      <c r="K818" s="15" t="s">
        <v>22</v>
      </c>
    </row>
    <row r="819" spans="1:11" ht="42" customHeight="1">
      <c r="A819" s="4" t="s">
        <v>2088</v>
      </c>
      <c r="B819" s="5" t="s">
        <v>2088</v>
      </c>
      <c r="C819" s="5" t="s">
        <v>34</v>
      </c>
      <c r="D819" s="5" t="s">
        <v>35</v>
      </c>
      <c r="E819" s="5" t="s">
        <v>127</v>
      </c>
      <c r="F819" s="9">
        <v>81</v>
      </c>
      <c r="G819" s="9">
        <v>942</v>
      </c>
      <c r="H819" s="5" t="s">
        <v>20</v>
      </c>
      <c r="I819" s="5" t="s">
        <v>2089</v>
      </c>
      <c r="J819" s="12" t="str">
        <f>HYPERLINK("https://www.boe.es/gazeta/dias/1807/09/11/pdfs/GMD-1807-81.pdf#page=6","Abrir facsímil")</f>
        <v>Abrir facsímil</v>
      </c>
      <c r="K819" s="15" t="s">
        <v>22</v>
      </c>
    </row>
    <row r="820" spans="1:11" ht="42" customHeight="1">
      <c r="A820" s="4" t="s">
        <v>2090</v>
      </c>
      <c r="B820" s="5" t="s">
        <v>2091</v>
      </c>
      <c r="C820" s="5" t="s">
        <v>17</v>
      </c>
      <c r="D820" s="5" t="s">
        <v>18</v>
      </c>
      <c r="E820" s="5" t="s">
        <v>190</v>
      </c>
      <c r="F820" s="9">
        <v>37</v>
      </c>
      <c r="G820" s="9">
        <v>440</v>
      </c>
      <c r="H820" s="5" t="s">
        <v>20</v>
      </c>
      <c r="I820" s="5" t="s">
        <v>2092</v>
      </c>
      <c r="J820" s="12" t="str">
        <f>HYPERLINK("https://www.boe.es/gazeta/dias/1807/04/28/pdfs/GMD-1807-37.pdf#page=8","Abrir facsímil")</f>
        <v>Abrir facsímil</v>
      </c>
      <c r="K820" s="15" t="s">
        <v>22</v>
      </c>
    </row>
    <row r="821" spans="1:11" ht="42" customHeight="1">
      <c r="A821" s="4" t="s">
        <v>2093</v>
      </c>
      <c r="B821" s="5" t="s">
        <v>2094</v>
      </c>
      <c r="C821" s="5" t="s">
        <v>24</v>
      </c>
      <c r="D821" s="5" t="s">
        <v>18</v>
      </c>
      <c r="E821" s="5" t="s">
        <v>65</v>
      </c>
      <c r="F821" s="9">
        <v>52</v>
      </c>
      <c r="G821" s="9">
        <v>625</v>
      </c>
      <c r="H821" s="5" t="s">
        <v>20</v>
      </c>
      <c r="I821" s="5" t="s">
        <v>2095</v>
      </c>
      <c r="J821" s="12" t="str">
        <f>HYPERLINK("https://www.boe.es/gazeta/dias/1807/06/19/pdfs/GMD-1807-52.pdf#page=15","Abrir facsímil")</f>
        <v>Abrir facsímil</v>
      </c>
      <c r="K821" s="15" t="s">
        <v>22</v>
      </c>
    </row>
    <row r="822" spans="1:11" ht="42" customHeight="1">
      <c r="A822" s="4" t="s">
        <v>2096</v>
      </c>
      <c r="B822" s="5" t="s">
        <v>2097</v>
      </c>
      <c r="C822" s="5" t="s">
        <v>34</v>
      </c>
      <c r="D822" s="5" t="s">
        <v>35</v>
      </c>
      <c r="E822" s="5" t="s">
        <v>441</v>
      </c>
      <c r="F822" s="9">
        <v>92</v>
      </c>
      <c r="G822" s="9">
        <v>1068</v>
      </c>
      <c r="H822" s="5" t="s">
        <v>20</v>
      </c>
      <c r="I822" s="5" t="s">
        <v>2098</v>
      </c>
      <c r="J822" s="12" t="str">
        <f>HYPERLINK("https://www.boe.es/gazeta/dias/1807/10/13/pdfs/GMD-1807-92.pdf#page=8","Abrir facsímil")</f>
        <v>Abrir facsímil</v>
      </c>
      <c r="K822" s="15" t="s">
        <v>22</v>
      </c>
    </row>
    <row r="823" spans="1:11" ht="42" customHeight="1">
      <c r="A823" s="4" t="s">
        <v>2099</v>
      </c>
      <c r="B823" s="5" t="s">
        <v>2100</v>
      </c>
      <c r="C823" s="5" t="s">
        <v>49</v>
      </c>
      <c r="D823" s="5" t="s">
        <v>50</v>
      </c>
      <c r="E823" s="5" t="s">
        <v>620</v>
      </c>
      <c r="F823" s="9">
        <v>84</v>
      </c>
      <c r="G823" s="9">
        <v>974</v>
      </c>
      <c r="H823" s="5" t="s">
        <v>20</v>
      </c>
      <c r="I823" s="5" t="s">
        <v>2101</v>
      </c>
      <c r="J823" s="12" t="str">
        <f>HYPERLINK("https://www.boe.es/gazeta/dias/1807/09/22/pdfs/GMD-1807-84.pdf#page=2","Abrir facsímil")</f>
        <v>Abrir facsímil</v>
      </c>
      <c r="K823" s="15" t="s">
        <v>22</v>
      </c>
    </row>
    <row r="824" spans="1:11" ht="42" customHeight="1">
      <c r="A824" s="4" t="s">
        <v>2102</v>
      </c>
      <c r="B824" s="5" t="s">
        <v>2103</v>
      </c>
      <c r="C824" s="5" t="s">
        <v>49</v>
      </c>
      <c r="D824" s="5" t="s">
        <v>50</v>
      </c>
      <c r="E824" s="5" t="s">
        <v>426</v>
      </c>
      <c r="F824" s="9">
        <v>93</v>
      </c>
      <c r="G824" s="9">
        <v>1074</v>
      </c>
      <c r="H824" s="5" t="s">
        <v>20</v>
      </c>
      <c r="I824" s="5" t="s">
        <v>2104</v>
      </c>
      <c r="J824" s="12" t="str">
        <f>HYPERLINK("https://www.boe.es/gazeta/dias/1807/10/16/pdfs/GMD-1807-93.pdf#page=2","Abrir facsímil")</f>
        <v>Abrir facsímil</v>
      </c>
      <c r="K824" s="15" t="s">
        <v>22</v>
      </c>
    </row>
    <row r="825" spans="1:11" ht="42" customHeight="1">
      <c r="A825" s="4" t="s">
        <v>2102</v>
      </c>
      <c r="B825" s="5" t="s">
        <v>2103</v>
      </c>
      <c r="C825" s="5" t="s">
        <v>49</v>
      </c>
      <c r="D825" s="5" t="s">
        <v>50</v>
      </c>
      <c r="E825" s="5" t="s">
        <v>1177</v>
      </c>
      <c r="F825" s="9">
        <v>101</v>
      </c>
      <c r="G825" s="9">
        <v>1170</v>
      </c>
      <c r="H825" s="5" t="s">
        <v>20</v>
      </c>
      <c r="I825" s="5" t="s">
        <v>2105</v>
      </c>
      <c r="J825" s="12" t="str">
        <f>HYPERLINK("https://www.boe.es/gazeta/dias/1807/11/13/pdfs/GMD-1807-101.pdf#page=2","Abrir facsímil")</f>
        <v>Abrir facsímil</v>
      </c>
      <c r="K825" s="15" t="s">
        <v>22</v>
      </c>
    </row>
    <row r="826" spans="1:11" ht="42" customHeight="1">
      <c r="A826" s="4" t="s">
        <v>2106</v>
      </c>
      <c r="B826" s="5" t="s">
        <v>2106</v>
      </c>
      <c r="C826" s="5" t="s">
        <v>34</v>
      </c>
      <c r="D826" s="5" t="s">
        <v>35</v>
      </c>
      <c r="E826" s="5" t="s">
        <v>319</v>
      </c>
      <c r="F826" s="9">
        <v>54</v>
      </c>
      <c r="G826" s="9">
        <v>645</v>
      </c>
      <c r="H826" s="5" t="s">
        <v>20</v>
      </c>
      <c r="I826" s="5" t="s">
        <v>2107</v>
      </c>
      <c r="J826" s="12" t="str">
        <f>HYPERLINK("https://www.boe.es/gazeta/dias/1807/06/26/pdfs/GMD-1807-54.pdf#page=7","Abrir facsímil")</f>
        <v>Abrir facsímil</v>
      </c>
      <c r="K826" s="15" t="s">
        <v>22</v>
      </c>
    </row>
    <row r="827" spans="1:11" ht="42" customHeight="1">
      <c r="A827" s="4" t="s">
        <v>2108</v>
      </c>
      <c r="B827" s="5" t="s">
        <v>2108</v>
      </c>
      <c r="C827" s="5" t="s">
        <v>34</v>
      </c>
      <c r="D827" s="5" t="s">
        <v>35</v>
      </c>
      <c r="E827" s="5" t="s">
        <v>149</v>
      </c>
      <c r="F827" s="9">
        <v>38</v>
      </c>
      <c r="G827" s="9">
        <v>450</v>
      </c>
      <c r="H827" s="5" t="s">
        <v>20</v>
      </c>
      <c r="I827" s="5" t="s">
        <v>2109</v>
      </c>
      <c r="J827" s="12" t="str">
        <f>HYPERLINK("https://www.boe.es/gazeta/dias/1807/05/01/pdfs/GMD-1807-38.pdf#page=6","Abrir facsímil")</f>
        <v>Abrir facsímil</v>
      </c>
      <c r="K827" s="15" t="s">
        <v>22</v>
      </c>
    </row>
    <row r="828" spans="1:11" ht="42" customHeight="1">
      <c r="A828" s="4" t="s">
        <v>2110</v>
      </c>
      <c r="B828" s="5" t="s">
        <v>2110</v>
      </c>
      <c r="C828" s="5" t="s">
        <v>24</v>
      </c>
      <c r="D828" s="5" t="s">
        <v>18</v>
      </c>
      <c r="E828" s="5" t="s">
        <v>241</v>
      </c>
      <c r="F828" s="9">
        <v>76</v>
      </c>
      <c r="G828" s="9">
        <v>883</v>
      </c>
      <c r="H828" s="5" t="s">
        <v>20</v>
      </c>
      <c r="I828" s="5" t="s">
        <v>2111</v>
      </c>
      <c r="J828" s="12" t="str">
        <f>HYPERLINK("https://www.boe.es/gazeta/dias/1807/08/25/pdfs/GMD-1807-76.pdf#page=11","Abrir facsímil")</f>
        <v>Abrir facsímil</v>
      </c>
      <c r="K828" s="15" t="s">
        <v>22</v>
      </c>
    </row>
    <row r="829" spans="1:11" ht="42" customHeight="1">
      <c r="A829" s="4" t="s">
        <v>2112</v>
      </c>
      <c r="B829" s="5" t="s">
        <v>2112</v>
      </c>
      <c r="C829" s="5" t="s">
        <v>24</v>
      </c>
      <c r="D829" s="5" t="s">
        <v>18</v>
      </c>
      <c r="E829" s="5" t="s">
        <v>361</v>
      </c>
      <c r="F829" s="9">
        <v>113</v>
      </c>
      <c r="G829" s="9">
        <v>1323</v>
      </c>
      <c r="H829" s="5" t="s">
        <v>20</v>
      </c>
      <c r="I829" s="5" t="s">
        <v>2113</v>
      </c>
      <c r="J829" s="12" t="str">
        <f>HYPERLINK("https://www.boe.es/gazeta/dias/1807/12/22/pdfs/GMD-1807-113.pdf#page=11","Abrir facsímil")</f>
        <v>Abrir facsímil</v>
      </c>
      <c r="K829" s="15" t="s">
        <v>22</v>
      </c>
    </row>
    <row r="830" spans="1:11" ht="42" customHeight="1">
      <c r="A830" s="4" t="s">
        <v>2114</v>
      </c>
      <c r="B830" s="5" t="s">
        <v>2115</v>
      </c>
      <c r="C830" s="5" t="s">
        <v>34</v>
      </c>
      <c r="D830" s="5" t="s">
        <v>35</v>
      </c>
      <c r="E830" s="5" t="s">
        <v>42</v>
      </c>
      <c r="F830" s="9">
        <v>31</v>
      </c>
      <c r="G830" s="9">
        <v>368</v>
      </c>
      <c r="H830" s="5" t="s">
        <v>20</v>
      </c>
      <c r="I830" s="5" t="s">
        <v>2116</v>
      </c>
      <c r="J830" s="12" t="str">
        <f>HYPERLINK("https://www.boe.es/gazeta/dias/1807/04/07/pdfs/GMD-1807-31.pdf#page=8","Abrir facsímil")</f>
        <v>Abrir facsímil</v>
      </c>
      <c r="K830" s="15" t="s">
        <v>22</v>
      </c>
    </row>
    <row r="831" spans="1:11" ht="42" customHeight="1">
      <c r="A831" s="4" t="s">
        <v>2117</v>
      </c>
      <c r="B831" s="5" t="s">
        <v>2117</v>
      </c>
      <c r="C831" s="5" t="s">
        <v>34</v>
      </c>
      <c r="D831" s="5" t="s">
        <v>35</v>
      </c>
      <c r="E831" s="5" t="s">
        <v>190</v>
      </c>
      <c r="F831" s="9">
        <v>37</v>
      </c>
      <c r="G831" s="9">
        <v>440</v>
      </c>
      <c r="H831" s="5" t="s">
        <v>20</v>
      </c>
      <c r="I831" s="5" t="s">
        <v>2118</v>
      </c>
      <c r="J831" s="12" t="str">
        <f>HYPERLINK("https://www.boe.es/gazeta/dias/1807/04/28/pdfs/GMD-1807-37.pdf#page=8","Abrir facsímil")</f>
        <v>Abrir facsímil</v>
      </c>
      <c r="K831" s="15" t="s">
        <v>22</v>
      </c>
    </row>
    <row r="832" spans="1:11" ht="42" customHeight="1">
      <c r="A832" s="4" t="s">
        <v>2119</v>
      </c>
      <c r="B832" s="5" t="s">
        <v>2119</v>
      </c>
      <c r="C832" s="5" t="s">
        <v>28</v>
      </c>
      <c r="D832" s="5" t="s">
        <v>29</v>
      </c>
      <c r="E832" s="5" t="s">
        <v>426</v>
      </c>
      <c r="F832" s="9">
        <v>93</v>
      </c>
      <c r="G832" s="9">
        <v>1082</v>
      </c>
      <c r="H832" s="5" t="s">
        <v>20</v>
      </c>
      <c r="I832" s="5" t="s">
        <v>2120</v>
      </c>
      <c r="J832" s="12" t="str">
        <f>HYPERLINK("https://www.boe.es/gazeta/dias/1807/10/16/pdfs/GMD-1807-93.pdf#page=10","Abrir facsímil")</f>
        <v>Abrir facsímil</v>
      </c>
      <c r="K832" s="15" t="s">
        <v>22</v>
      </c>
    </row>
    <row r="833" spans="1:11" ht="42" customHeight="1">
      <c r="A833" s="4" t="s">
        <v>2121</v>
      </c>
      <c r="B833" s="5" t="s">
        <v>2121</v>
      </c>
      <c r="C833" s="5" t="s">
        <v>34</v>
      </c>
      <c r="D833" s="5" t="s">
        <v>35</v>
      </c>
      <c r="E833" s="5" t="s">
        <v>36</v>
      </c>
      <c r="F833" s="9">
        <v>36</v>
      </c>
      <c r="G833" s="9">
        <v>430</v>
      </c>
      <c r="H833" s="5" t="s">
        <v>20</v>
      </c>
      <c r="I833" s="5" t="s">
        <v>2122</v>
      </c>
      <c r="J833" s="12" t="str">
        <f>HYPERLINK("https://www.boe.es/gazeta/dias/1807/04/24/pdfs/GMD-1807-36.pdf#page=10","Abrir facsímil")</f>
        <v>Abrir facsímil</v>
      </c>
      <c r="K833" s="15" t="s">
        <v>22</v>
      </c>
    </row>
    <row r="834" spans="1:11" ht="42" customHeight="1">
      <c r="A834" s="4" t="s">
        <v>2123</v>
      </c>
      <c r="B834" s="5" t="s">
        <v>2123</v>
      </c>
      <c r="C834" s="5" t="s">
        <v>34</v>
      </c>
      <c r="D834" s="5" t="s">
        <v>35</v>
      </c>
      <c r="E834" s="5" t="s">
        <v>1354</v>
      </c>
      <c r="F834" s="9">
        <v>83</v>
      </c>
      <c r="G834" s="9">
        <v>969</v>
      </c>
      <c r="H834" s="5" t="s">
        <v>20</v>
      </c>
      <c r="I834" s="5" t="s">
        <v>2124</v>
      </c>
      <c r="J834" s="12" t="str">
        <f>HYPERLINK("https://www.boe.es/gazeta/dias/1807/09/18/pdfs/GMD-1807-83.pdf#page=9","Abrir facsímil")</f>
        <v>Abrir facsímil</v>
      </c>
      <c r="K834" s="15" t="s">
        <v>22</v>
      </c>
    </row>
    <row r="835" spans="1:11" ht="42" customHeight="1">
      <c r="A835" s="4" t="s">
        <v>2125</v>
      </c>
      <c r="B835" s="5" t="s">
        <v>2125</v>
      </c>
      <c r="C835" s="5" t="s">
        <v>28</v>
      </c>
      <c r="D835" s="5" t="s">
        <v>29</v>
      </c>
      <c r="E835" s="5" t="s">
        <v>581</v>
      </c>
      <c r="F835" s="9">
        <v>71</v>
      </c>
      <c r="G835" s="9">
        <v>814</v>
      </c>
      <c r="H835" s="5" t="s">
        <v>20</v>
      </c>
      <c r="I835" s="5" t="s">
        <v>2126</v>
      </c>
      <c r="J835" s="12" t="str">
        <f>HYPERLINK("https://www.boe.es/gazeta/dias/1807/08/07/pdfs/GMD-1807-71.pdf#page=6","Abrir facsímil")</f>
        <v>Abrir facsímil</v>
      </c>
      <c r="K835" s="15" t="s">
        <v>22</v>
      </c>
    </row>
    <row r="836" spans="1:11" ht="42" customHeight="1">
      <c r="A836" s="4" t="s">
        <v>2127</v>
      </c>
      <c r="B836" s="5" t="s">
        <v>2127</v>
      </c>
      <c r="C836" s="5" t="s">
        <v>34</v>
      </c>
      <c r="D836" s="5" t="s">
        <v>35</v>
      </c>
      <c r="E836" s="5" t="s">
        <v>42</v>
      </c>
      <c r="F836" s="9">
        <v>31</v>
      </c>
      <c r="G836" s="9">
        <v>368</v>
      </c>
      <c r="H836" s="5" t="s">
        <v>20</v>
      </c>
      <c r="I836" s="5" t="s">
        <v>2128</v>
      </c>
      <c r="J836" s="12" t="str">
        <f>HYPERLINK("https://www.boe.es/gazeta/dias/1807/04/07/pdfs/GMD-1807-31.pdf#page=8","Abrir facsímil")</f>
        <v>Abrir facsímil</v>
      </c>
      <c r="K836" s="15" t="s">
        <v>22</v>
      </c>
    </row>
    <row r="837" spans="1:11" ht="42" customHeight="1">
      <c r="A837" s="4" t="s">
        <v>2129</v>
      </c>
      <c r="B837" s="5" t="s">
        <v>2129</v>
      </c>
      <c r="C837" s="5" t="s">
        <v>34</v>
      </c>
      <c r="D837" s="5" t="s">
        <v>35</v>
      </c>
      <c r="E837" s="5" t="s">
        <v>36</v>
      </c>
      <c r="F837" s="9">
        <v>36</v>
      </c>
      <c r="G837" s="9">
        <v>430</v>
      </c>
      <c r="H837" s="5" t="s">
        <v>20</v>
      </c>
      <c r="I837" s="5" t="s">
        <v>2130</v>
      </c>
      <c r="J837" s="12" t="str">
        <f>HYPERLINK("https://www.boe.es/gazeta/dias/1807/04/24/pdfs/GMD-1807-36.pdf#page=10","Abrir facsímil")</f>
        <v>Abrir facsímil</v>
      </c>
      <c r="K837" s="15" t="s">
        <v>22</v>
      </c>
    </row>
    <row r="838" spans="1:11" ht="42" customHeight="1">
      <c r="A838" s="4" t="s">
        <v>2131</v>
      </c>
      <c r="B838" s="5" t="s">
        <v>2132</v>
      </c>
      <c r="C838" s="5" t="s">
        <v>28</v>
      </c>
      <c r="D838" s="5" t="s">
        <v>29</v>
      </c>
      <c r="E838" s="5" t="s">
        <v>215</v>
      </c>
      <c r="F838" s="9">
        <v>5</v>
      </c>
      <c r="G838" s="9">
        <v>45</v>
      </c>
      <c r="H838" s="5" t="s">
        <v>20</v>
      </c>
      <c r="I838" s="5" t="s">
        <v>2133</v>
      </c>
      <c r="J838" s="12" t="str">
        <f>HYPERLINK("https://www.boe.es/gazeta/dias/1807/01/16/pdfs/GMD-1807-5.pdf#page=1","Abrir facsímil")</f>
        <v>Abrir facsímil</v>
      </c>
      <c r="K838" s="15" t="s">
        <v>22</v>
      </c>
    </row>
    <row r="839" spans="1:11" ht="42" customHeight="1">
      <c r="A839" s="4" t="s">
        <v>2134</v>
      </c>
      <c r="B839" s="5" t="s">
        <v>2135</v>
      </c>
      <c r="C839" s="5" t="s">
        <v>34</v>
      </c>
      <c r="D839" s="5" t="s">
        <v>35</v>
      </c>
      <c r="E839" s="5" t="s">
        <v>30</v>
      </c>
      <c r="F839" s="9">
        <v>13</v>
      </c>
      <c r="G839" s="9">
        <v>149</v>
      </c>
      <c r="H839" s="5" t="s">
        <v>20</v>
      </c>
      <c r="I839" s="5" t="s">
        <v>2136</v>
      </c>
      <c r="J839" s="12" t="str">
        <f>HYPERLINK("https://www.boe.es/gazeta/dias/1807/02/06/pdfs/GMD-1807-13.pdf#page=9","Abrir facsímil")</f>
        <v>Abrir facsímil</v>
      </c>
      <c r="K839" s="15" t="s">
        <v>22</v>
      </c>
    </row>
    <row r="840" spans="1:11" ht="42" customHeight="1">
      <c r="A840" s="4" t="s">
        <v>2137</v>
      </c>
      <c r="B840" s="5" t="s">
        <v>2138</v>
      </c>
      <c r="C840" s="5" t="s">
        <v>17</v>
      </c>
      <c r="D840" s="5" t="s">
        <v>18</v>
      </c>
      <c r="E840" s="5" t="s">
        <v>98</v>
      </c>
      <c r="F840" s="9">
        <v>34</v>
      </c>
      <c r="G840" s="9">
        <v>404</v>
      </c>
      <c r="H840" s="5" t="s">
        <v>20</v>
      </c>
      <c r="I840" s="5" t="s">
        <v>2139</v>
      </c>
      <c r="J840" s="12" t="str">
        <f>HYPERLINK("https://www.boe.es/gazeta/dias/1807/04/17/pdfs/GMD-1807-34.pdf#page=8","Abrir facsímil")</f>
        <v>Abrir facsímil</v>
      </c>
      <c r="K840" s="15" t="s">
        <v>22</v>
      </c>
    </row>
    <row r="841" spans="1:11" ht="42" customHeight="1">
      <c r="A841" s="4" t="s">
        <v>2140</v>
      </c>
      <c r="B841" s="5" t="s">
        <v>2141</v>
      </c>
      <c r="C841" s="5" t="s">
        <v>28</v>
      </c>
      <c r="D841" s="5" t="s">
        <v>29</v>
      </c>
      <c r="E841" s="5" t="s">
        <v>40</v>
      </c>
      <c r="F841" s="9">
        <v>26</v>
      </c>
      <c r="G841" s="9">
        <v>310</v>
      </c>
      <c r="H841" s="5" t="s">
        <v>20</v>
      </c>
      <c r="I841" s="5" t="s">
        <v>2142</v>
      </c>
      <c r="J841" s="12" t="str">
        <f>HYPERLINK("https://www.boe.es/gazeta/dias/1807/03/20/pdfs/GMD-1807-26.pdf#page=6","Abrir facsímil")</f>
        <v>Abrir facsímil</v>
      </c>
      <c r="K841" s="15" t="s">
        <v>22</v>
      </c>
    </row>
    <row r="842" spans="1:11" ht="42" customHeight="1">
      <c r="A842" s="4" t="s">
        <v>2143</v>
      </c>
      <c r="B842" s="5" t="s">
        <v>2144</v>
      </c>
      <c r="C842" s="5" t="s">
        <v>24</v>
      </c>
      <c r="D842" s="5" t="s">
        <v>18</v>
      </c>
      <c r="E842" s="5" t="s">
        <v>135</v>
      </c>
      <c r="F842" s="9">
        <v>80</v>
      </c>
      <c r="G842" s="9">
        <v>935</v>
      </c>
      <c r="H842" s="5" t="s">
        <v>20</v>
      </c>
      <c r="I842" s="5" t="s">
        <v>2145</v>
      </c>
      <c r="J842" s="12" t="str">
        <f>HYPERLINK("https://www.boe.es/gazeta/dias/1807/09/08/pdfs/GMD-1807-80.pdf#page=11","Abrir facsímil")</f>
        <v>Abrir facsímil</v>
      </c>
      <c r="K842" s="15" t="s">
        <v>22</v>
      </c>
    </row>
    <row r="843" spans="1:11" ht="42" customHeight="1">
      <c r="A843" s="4" t="s">
        <v>2146</v>
      </c>
      <c r="B843" s="5" t="s">
        <v>2147</v>
      </c>
      <c r="C843" s="5" t="s">
        <v>28</v>
      </c>
      <c r="D843" s="5" t="s">
        <v>29</v>
      </c>
      <c r="E843" s="5" t="s">
        <v>346</v>
      </c>
      <c r="F843" s="9">
        <v>21</v>
      </c>
      <c r="G843" s="9">
        <v>245</v>
      </c>
      <c r="H843" s="5" t="s">
        <v>20</v>
      </c>
      <c r="I843" s="5" t="s">
        <v>2148</v>
      </c>
      <c r="J843" s="12" t="str">
        <f>HYPERLINK("https://www.boe.es/gazeta/dias/1807/03/03/pdfs/GMD-1807-21.pdf#page=9","Abrir facsímil")</f>
        <v>Abrir facsímil</v>
      </c>
      <c r="K843" s="15" t="s">
        <v>22</v>
      </c>
    </row>
    <row r="844" spans="1:11" ht="42" customHeight="1">
      <c r="A844" s="4" t="s">
        <v>2149</v>
      </c>
      <c r="B844" s="5" t="s">
        <v>2150</v>
      </c>
      <c r="C844" s="5" t="s">
        <v>89</v>
      </c>
      <c r="D844" s="5" t="s">
        <v>90</v>
      </c>
      <c r="E844" s="5" t="s">
        <v>414</v>
      </c>
      <c r="F844" s="9">
        <v>40</v>
      </c>
      <c r="G844" s="9">
        <v>482</v>
      </c>
      <c r="H844" s="5" t="s">
        <v>20</v>
      </c>
      <c r="I844" s="5" t="s">
        <v>2151</v>
      </c>
      <c r="J844" s="12" t="str">
        <f>HYPERLINK("https://www.boe.es/gazeta/dias/1807/05/08/pdfs/GMD-1807-40.pdf#page=12","Abrir facsímil")</f>
        <v>Abrir facsímil</v>
      </c>
      <c r="K844" s="15" t="s">
        <v>22</v>
      </c>
    </row>
    <row r="845" spans="1:11" ht="42" customHeight="1">
      <c r="A845" s="4" t="s">
        <v>2152</v>
      </c>
      <c r="B845" s="5" t="s">
        <v>2153</v>
      </c>
      <c r="C845" s="5" t="s">
        <v>17</v>
      </c>
      <c r="D845" s="5" t="s">
        <v>18</v>
      </c>
      <c r="E845" s="5" t="s">
        <v>109</v>
      </c>
      <c r="F845" s="9">
        <v>58</v>
      </c>
      <c r="G845" s="9">
        <v>689</v>
      </c>
      <c r="H845" s="5" t="s">
        <v>20</v>
      </c>
      <c r="I845" s="5" t="s">
        <v>2154</v>
      </c>
      <c r="J845" s="12" t="str">
        <f>HYPERLINK("https://www.boe.es/gazeta/dias/1807/07/07/pdfs/GMD-1807-58.pdf#page=7","Abrir facsímil")</f>
        <v>Abrir facsímil</v>
      </c>
      <c r="K845" s="15" t="s">
        <v>22</v>
      </c>
    </row>
    <row r="846" spans="1:11" ht="42" customHeight="1">
      <c r="A846" s="4" t="s">
        <v>2155</v>
      </c>
      <c r="B846" s="5" t="s">
        <v>2156</v>
      </c>
      <c r="C846" s="5" t="s">
        <v>28</v>
      </c>
      <c r="D846" s="5" t="s">
        <v>29</v>
      </c>
      <c r="E846" s="5" t="s">
        <v>567</v>
      </c>
      <c r="F846" s="9">
        <v>55</v>
      </c>
      <c r="G846" s="9">
        <v>659</v>
      </c>
      <c r="H846" s="5" t="s">
        <v>20</v>
      </c>
      <c r="I846" s="5" t="s">
        <v>2157</v>
      </c>
      <c r="J846" s="12" t="str">
        <f>HYPERLINK("https://www.boe.es/gazeta/dias/1807/06/30/pdfs/GMD-1807-55.pdf#page=9","Abrir facsímil")</f>
        <v>Abrir facsímil</v>
      </c>
      <c r="K846" s="15" t="s">
        <v>22</v>
      </c>
    </row>
    <row r="847" spans="1:11" ht="42" customHeight="1">
      <c r="A847" s="4" t="s">
        <v>2158</v>
      </c>
      <c r="B847" s="5" t="s">
        <v>2159</v>
      </c>
      <c r="C847" s="5" t="s">
        <v>34</v>
      </c>
      <c r="D847" s="5" t="s">
        <v>35</v>
      </c>
      <c r="E847" s="5" t="s">
        <v>30</v>
      </c>
      <c r="F847" s="9">
        <v>13</v>
      </c>
      <c r="G847" s="9">
        <v>147</v>
      </c>
      <c r="H847" s="5" t="s">
        <v>20</v>
      </c>
      <c r="I847" s="5" t="s">
        <v>2160</v>
      </c>
      <c r="J847" s="12" t="str">
        <f>HYPERLINK("https://www.boe.es/gazeta/dias/1807/02/06/pdfs/GMD-1807-13.pdf#page=7","Abrir facsímil")</f>
        <v>Abrir facsímil</v>
      </c>
      <c r="K847" s="15" t="s">
        <v>22</v>
      </c>
    </row>
    <row r="848" spans="1:11" ht="42" customHeight="1">
      <c r="A848" s="4" t="s">
        <v>2161</v>
      </c>
      <c r="B848" s="5" t="s">
        <v>2162</v>
      </c>
      <c r="C848" s="5" t="s">
        <v>34</v>
      </c>
      <c r="D848" s="5" t="s">
        <v>35</v>
      </c>
      <c r="E848" s="5" t="s">
        <v>127</v>
      </c>
      <c r="F848" s="9">
        <v>81</v>
      </c>
      <c r="G848" s="9">
        <v>945</v>
      </c>
      <c r="H848" s="5" t="s">
        <v>20</v>
      </c>
      <c r="I848" s="5" t="s">
        <v>2163</v>
      </c>
      <c r="J848" s="12" t="str">
        <f>HYPERLINK("https://www.boe.es/gazeta/dias/1807/09/11/pdfs/GMD-1807-81.pdf#page=9","Abrir facsímil")</f>
        <v>Abrir facsímil</v>
      </c>
      <c r="K848" s="15" t="s">
        <v>22</v>
      </c>
    </row>
    <row r="849" spans="1:11" ht="42" customHeight="1">
      <c r="A849" s="4" t="s">
        <v>2164</v>
      </c>
      <c r="B849" s="5" t="s">
        <v>2165</v>
      </c>
      <c r="C849" s="5" t="s">
        <v>34</v>
      </c>
      <c r="D849" s="5" t="s">
        <v>35</v>
      </c>
      <c r="E849" s="5" t="s">
        <v>114</v>
      </c>
      <c r="F849" s="9">
        <v>46</v>
      </c>
      <c r="G849" s="9">
        <v>548</v>
      </c>
      <c r="H849" s="5" t="s">
        <v>20</v>
      </c>
      <c r="I849" s="5" t="s">
        <v>2166</v>
      </c>
      <c r="J849" s="12" t="str">
        <f>HYPERLINK("https://www.boe.es/gazeta/dias/1807/05/29/pdfs/GMD-1807-46.pdf#page=6","Abrir facsímil")</f>
        <v>Abrir facsímil</v>
      </c>
      <c r="K849" s="15" t="s">
        <v>22</v>
      </c>
    </row>
    <row r="850" spans="1:11" ht="42" customHeight="1">
      <c r="A850" s="4" t="s">
        <v>2167</v>
      </c>
      <c r="B850" s="5" t="s">
        <v>2168</v>
      </c>
      <c r="C850" s="5" t="s">
        <v>49</v>
      </c>
      <c r="D850" s="5" t="s">
        <v>50</v>
      </c>
      <c r="E850" s="5" t="s">
        <v>393</v>
      </c>
      <c r="F850" s="9">
        <v>15</v>
      </c>
      <c r="G850" s="9">
        <v>165</v>
      </c>
      <c r="H850" s="5" t="s">
        <v>20</v>
      </c>
      <c r="I850" s="5" t="s">
        <v>2169</v>
      </c>
      <c r="J850" s="12" t="str">
        <f>HYPERLINK("https://www.boe.es/gazeta/dias/1807/02/13/pdfs/GMD-1807-15.pdf#page=1","Abrir facsímil")</f>
        <v>Abrir facsímil</v>
      </c>
      <c r="K850" s="15" t="s">
        <v>22</v>
      </c>
    </row>
    <row r="851" spans="1:11" ht="42" customHeight="1">
      <c r="A851" s="4" t="s">
        <v>2170</v>
      </c>
      <c r="B851" s="5" t="s">
        <v>2171</v>
      </c>
      <c r="C851" s="5" t="s">
        <v>24</v>
      </c>
      <c r="D851" s="5" t="s">
        <v>18</v>
      </c>
      <c r="E851" s="5" t="s">
        <v>149</v>
      </c>
      <c r="F851" s="9">
        <v>38</v>
      </c>
      <c r="G851" s="9">
        <v>454</v>
      </c>
      <c r="H851" s="5" t="s">
        <v>20</v>
      </c>
      <c r="I851" s="5" t="s">
        <v>2172</v>
      </c>
      <c r="J851" s="12" t="str">
        <f>HYPERLINK("https://www.boe.es/gazeta/dias/1807/05/01/pdfs/GMD-1807-38.pdf#page=10","Abrir facsímil")</f>
        <v>Abrir facsímil</v>
      </c>
      <c r="K851" s="15" t="s">
        <v>22</v>
      </c>
    </row>
    <row r="852" spans="1:11" ht="42" customHeight="1">
      <c r="A852" s="4" t="s">
        <v>2173</v>
      </c>
      <c r="B852" s="5" t="s">
        <v>2174</v>
      </c>
      <c r="C852" s="5" t="s">
        <v>34</v>
      </c>
      <c r="D852" s="5" t="s">
        <v>35</v>
      </c>
      <c r="E852" s="5" t="s">
        <v>595</v>
      </c>
      <c r="F852" s="9">
        <v>59</v>
      </c>
      <c r="G852" s="9">
        <v>702</v>
      </c>
      <c r="H852" s="5" t="s">
        <v>20</v>
      </c>
      <c r="I852" s="5" t="s">
        <v>2175</v>
      </c>
      <c r="J852" s="12" t="str">
        <f>HYPERLINK("https://www.boe.es/gazeta/dias/1807/07/10/pdfs/GMD-1807-59.pdf#page=8","Abrir facsímil")</f>
        <v>Abrir facsímil</v>
      </c>
      <c r="K852" s="15" t="s">
        <v>22</v>
      </c>
    </row>
    <row r="853" spans="1:11" ht="42" customHeight="1">
      <c r="A853" s="4" t="s">
        <v>2176</v>
      </c>
      <c r="B853" s="5" t="s">
        <v>2177</v>
      </c>
      <c r="C853" s="5" t="s">
        <v>49</v>
      </c>
      <c r="D853" s="5" t="s">
        <v>50</v>
      </c>
      <c r="E853" s="5" t="s">
        <v>418</v>
      </c>
      <c r="F853" s="9">
        <v>4</v>
      </c>
      <c r="G853" s="9">
        <v>36</v>
      </c>
      <c r="H853" s="5" t="s">
        <v>20</v>
      </c>
      <c r="I853" s="5" t="s">
        <v>2178</v>
      </c>
      <c r="J853" s="12" t="str">
        <f>HYPERLINK("https://www.boe.es/gazeta/dias/1807/01/13/pdfs/GMD-1807-4.pdf#page=4","Abrir facsímil")</f>
        <v>Abrir facsímil</v>
      </c>
      <c r="K853" s="15" t="s">
        <v>22</v>
      </c>
    </row>
    <row r="854" spans="1:11" ht="42" customHeight="1">
      <c r="A854" s="4" t="s">
        <v>2176</v>
      </c>
      <c r="B854" s="5" t="s">
        <v>2177</v>
      </c>
      <c r="C854" s="5" t="s">
        <v>34</v>
      </c>
      <c r="D854" s="5" t="s">
        <v>35</v>
      </c>
      <c r="E854" s="5" t="s">
        <v>76</v>
      </c>
      <c r="F854" s="9">
        <v>7</v>
      </c>
      <c r="G854" s="9">
        <v>71</v>
      </c>
      <c r="H854" s="5" t="s">
        <v>20</v>
      </c>
      <c r="I854" s="5" t="s">
        <v>2179</v>
      </c>
      <c r="J854" s="12" t="str">
        <f>HYPERLINK("https://www.boe.es/gazeta/dias/1807/01/20/pdfs/GMD-1807-7.pdf#page=3","Abrir facsímil")</f>
        <v>Abrir facsímil</v>
      </c>
      <c r="K854" s="15" t="s">
        <v>22</v>
      </c>
    </row>
    <row r="855" spans="1:11" ht="42" customHeight="1">
      <c r="A855" s="4" t="s">
        <v>2180</v>
      </c>
      <c r="B855" s="5" t="s">
        <v>2181</v>
      </c>
      <c r="C855" s="5" t="s">
        <v>34</v>
      </c>
      <c r="D855" s="5" t="s">
        <v>35</v>
      </c>
      <c r="E855" s="5" t="s">
        <v>620</v>
      </c>
      <c r="F855" s="9">
        <v>84</v>
      </c>
      <c r="G855" s="9">
        <v>981</v>
      </c>
      <c r="H855" s="5" t="s">
        <v>20</v>
      </c>
      <c r="I855" s="5" t="s">
        <v>2182</v>
      </c>
      <c r="J855" s="12" t="str">
        <f>HYPERLINK("https://www.boe.es/gazeta/dias/1807/09/22/pdfs/GMD-1807-84.pdf#page=9","Abrir facsímil")</f>
        <v>Abrir facsímil</v>
      </c>
      <c r="K855" s="15" t="s">
        <v>22</v>
      </c>
    </row>
    <row r="856" spans="1:11" ht="42" customHeight="1">
      <c r="A856" s="4" t="s">
        <v>2183</v>
      </c>
      <c r="B856" s="5" t="s">
        <v>2184</v>
      </c>
      <c r="C856" s="5" t="s">
        <v>252</v>
      </c>
      <c r="D856" s="5" t="s">
        <v>253</v>
      </c>
      <c r="E856" s="5" t="s">
        <v>534</v>
      </c>
      <c r="F856" s="9" t="s">
        <v>535</v>
      </c>
      <c r="G856" s="9">
        <v>100</v>
      </c>
      <c r="H856" s="5" t="s">
        <v>20</v>
      </c>
      <c r="I856" s="5" t="s">
        <v>2185</v>
      </c>
      <c r="J856" s="12" t="str">
        <f>HYPERLINK("https://www.boe.es/gazeta/dias/1807/01/24/pdfs/GMD-1807-9E.pdf#page=4","Abrir facsímil")</f>
        <v>Abrir facsímil</v>
      </c>
      <c r="K856" s="15" t="s">
        <v>22</v>
      </c>
    </row>
    <row r="857" spans="1:11" ht="42" customHeight="1">
      <c r="A857" s="4" t="s">
        <v>2186</v>
      </c>
      <c r="B857" s="5" t="s">
        <v>2186</v>
      </c>
      <c r="C857" s="5" t="s">
        <v>34</v>
      </c>
      <c r="D857" s="5" t="s">
        <v>35</v>
      </c>
      <c r="E857" s="5" t="s">
        <v>346</v>
      </c>
      <c r="F857" s="9">
        <v>21</v>
      </c>
      <c r="G857" s="9">
        <v>244</v>
      </c>
      <c r="H857" s="5" t="s">
        <v>20</v>
      </c>
      <c r="I857" s="5" t="s">
        <v>2187</v>
      </c>
      <c r="J857" s="12" t="str">
        <f>HYPERLINK("https://www.boe.es/gazeta/dias/1807/03/03/pdfs/GMD-1807-21.pdf#page=8","Abrir facsímil")</f>
        <v>Abrir facsímil</v>
      </c>
      <c r="K857" s="15" t="s">
        <v>22</v>
      </c>
    </row>
    <row r="858" spans="1:11" ht="42" customHeight="1">
      <c r="A858" s="4" t="s">
        <v>2188</v>
      </c>
      <c r="B858" s="5" t="s">
        <v>2189</v>
      </c>
      <c r="C858" s="5" t="s">
        <v>24</v>
      </c>
      <c r="D858" s="5" t="s">
        <v>18</v>
      </c>
      <c r="E858" s="5" t="s">
        <v>25</v>
      </c>
      <c r="F858" s="9">
        <v>45</v>
      </c>
      <c r="G858" s="9">
        <v>537</v>
      </c>
      <c r="H858" s="5" t="s">
        <v>20</v>
      </c>
      <c r="I858" s="5" t="s">
        <v>2190</v>
      </c>
      <c r="J858" s="12" t="str">
        <f>HYPERLINK("https://www.boe.es/gazeta/dias/1807/05/26/pdfs/GMD-1807-45.pdf#page=7","Abrir facsímil")</f>
        <v>Abrir facsímil</v>
      </c>
      <c r="K858" s="15" t="s">
        <v>22</v>
      </c>
    </row>
    <row r="859" spans="1:11" ht="42" customHeight="1">
      <c r="A859" s="4" t="s">
        <v>2191</v>
      </c>
      <c r="B859" s="5" t="s">
        <v>2191</v>
      </c>
      <c r="C859" s="5" t="s">
        <v>24</v>
      </c>
      <c r="D859" s="5" t="s">
        <v>18</v>
      </c>
      <c r="E859" s="5" t="s">
        <v>120</v>
      </c>
      <c r="F859" s="9">
        <v>10</v>
      </c>
      <c r="G859" s="9">
        <v>115</v>
      </c>
      <c r="H859" s="5" t="s">
        <v>20</v>
      </c>
      <c r="I859" s="5" t="s">
        <v>2192</v>
      </c>
      <c r="J859" s="12" t="str">
        <f>HYPERLINK("https://www.boe.es/gazeta/dias/1807/01/27/pdfs/GMD-1807-10.pdf#page=11","Abrir facsímil")</f>
        <v>Abrir facsímil</v>
      </c>
      <c r="K859" s="15" t="s">
        <v>22</v>
      </c>
    </row>
    <row r="860" spans="1:11" ht="42" customHeight="1">
      <c r="A860" s="4" t="s">
        <v>2193</v>
      </c>
      <c r="B860" s="5" t="s">
        <v>2193</v>
      </c>
      <c r="C860" s="5" t="s">
        <v>28</v>
      </c>
      <c r="D860" s="5" t="s">
        <v>29</v>
      </c>
      <c r="E860" s="5" t="s">
        <v>422</v>
      </c>
      <c r="F860" s="9">
        <v>33</v>
      </c>
      <c r="G860" s="9">
        <v>396</v>
      </c>
      <c r="H860" s="5" t="s">
        <v>20</v>
      </c>
      <c r="I860" s="5" t="s">
        <v>2194</v>
      </c>
      <c r="J860" s="12" t="str">
        <f>HYPERLINK("https://www.boe.es/gazeta/dias/1807/04/14/pdfs/GMD-1807-33.pdf#page=12","Abrir facsímil")</f>
        <v>Abrir facsímil</v>
      </c>
      <c r="K860" s="15" t="s">
        <v>22</v>
      </c>
    </row>
    <row r="861" spans="1:11" ht="42" customHeight="1">
      <c r="A861" s="4" t="s">
        <v>2195</v>
      </c>
      <c r="B861" s="5" t="s">
        <v>2195</v>
      </c>
      <c r="C861" s="5" t="s">
        <v>24</v>
      </c>
      <c r="D861" s="5" t="s">
        <v>18</v>
      </c>
      <c r="E861" s="5" t="s">
        <v>65</v>
      </c>
      <c r="F861" s="9">
        <v>52</v>
      </c>
      <c r="G861" s="9">
        <v>623</v>
      </c>
      <c r="H861" s="5" t="s">
        <v>20</v>
      </c>
      <c r="I861" s="5" t="s">
        <v>2196</v>
      </c>
      <c r="J861" s="12" t="str">
        <f>HYPERLINK("https://www.boe.es/gazeta/dias/1807/06/19/pdfs/GMD-1807-52.pdf#page=13","Abrir facsímil")</f>
        <v>Abrir facsímil</v>
      </c>
      <c r="K861" s="15" t="s">
        <v>22</v>
      </c>
    </row>
    <row r="862" spans="1:11" ht="42" customHeight="1">
      <c r="A862" s="4" t="s">
        <v>2197</v>
      </c>
      <c r="B862" s="5" t="s">
        <v>2197</v>
      </c>
      <c r="C862" s="5" t="s">
        <v>17</v>
      </c>
      <c r="D862" s="5" t="s">
        <v>18</v>
      </c>
      <c r="E862" s="5" t="s">
        <v>309</v>
      </c>
      <c r="F862" s="9">
        <v>107</v>
      </c>
      <c r="G862" s="9">
        <v>1251</v>
      </c>
      <c r="H862" s="5" t="s">
        <v>20</v>
      </c>
      <c r="I862" s="5" t="s">
        <v>2198</v>
      </c>
      <c r="J862" s="12" t="str">
        <f>HYPERLINK("https://www.boe.es/gazeta/dias/1807/12/01/pdfs/GMD-1807-107.pdf#page=11","Abrir facsímil")</f>
        <v>Abrir facsímil</v>
      </c>
      <c r="K862" s="15" t="s">
        <v>22</v>
      </c>
    </row>
    <row r="863" spans="1:11" ht="42" customHeight="1">
      <c r="A863" s="4" t="s">
        <v>2199</v>
      </c>
      <c r="B863" s="5" t="s">
        <v>2199</v>
      </c>
      <c r="C863" s="5" t="s">
        <v>24</v>
      </c>
      <c r="D863" s="5" t="s">
        <v>18</v>
      </c>
      <c r="E863" s="5" t="s">
        <v>81</v>
      </c>
      <c r="F863" s="9">
        <v>49</v>
      </c>
      <c r="G863" s="9">
        <v>586</v>
      </c>
      <c r="H863" s="5" t="s">
        <v>20</v>
      </c>
      <c r="I863" s="5" t="s">
        <v>2200</v>
      </c>
      <c r="J863" s="12" t="str">
        <f>HYPERLINK("https://www.boe.es/gazeta/dias/1807/06/09/pdfs/GMD-1807-49.pdf#page=12","Abrir facsímil")</f>
        <v>Abrir facsímil</v>
      </c>
      <c r="K863" s="15" t="s">
        <v>22</v>
      </c>
    </row>
    <row r="864" spans="1:11" ht="42" customHeight="1">
      <c r="A864" s="4" t="s">
        <v>2201</v>
      </c>
      <c r="B864" s="5" t="s">
        <v>2201</v>
      </c>
      <c r="C864" s="5" t="s">
        <v>49</v>
      </c>
      <c r="D864" s="5" t="s">
        <v>50</v>
      </c>
      <c r="E864" s="5" t="s">
        <v>575</v>
      </c>
      <c r="F864" s="9">
        <v>115</v>
      </c>
      <c r="G864" s="9">
        <v>1335</v>
      </c>
      <c r="H864" s="5" t="s">
        <v>20</v>
      </c>
      <c r="I864" s="5" t="s">
        <v>2202</v>
      </c>
      <c r="J864" s="12" t="str">
        <f>HYPERLINK("https://www.boe.es/gazeta/dias/1807/12/29/pdfs/GMD-1807-115.pdf#page=3","Abrir facsímil")</f>
        <v>Abrir facsímil</v>
      </c>
      <c r="K864" s="15" t="s">
        <v>22</v>
      </c>
    </row>
    <row r="865" spans="1:11" ht="42" customHeight="1">
      <c r="A865" s="4" t="s">
        <v>2203</v>
      </c>
      <c r="B865" s="5" t="s">
        <v>2203</v>
      </c>
      <c r="C865" s="5" t="s">
        <v>34</v>
      </c>
      <c r="D865" s="5" t="s">
        <v>35</v>
      </c>
      <c r="E865" s="5" t="s">
        <v>19</v>
      </c>
      <c r="F865" s="9">
        <v>41</v>
      </c>
      <c r="G865" s="9">
        <v>489</v>
      </c>
      <c r="H865" s="5" t="s">
        <v>20</v>
      </c>
      <c r="I865" s="5" t="s">
        <v>2204</v>
      </c>
      <c r="J865" s="12" t="str">
        <f>HYPERLINK("https://www.boe.es/gazeta/dias/1807/05/12/pdfs/GMD-1807-41.pdf#page=7","Abrir facsímil")</f>
        <v>Abrir facsímil</v>
      </c>
      <c r="K865" s="15" t="s">
        <v>22</v>
      </c>
    </row>
    <row r="866" spans="1:11" ht="42" customHeight="1">
      <c r="A866" s="4" t="s">
        <v>2205</v>
      </c>
      <c r="B866" s="5" t="s">
        <v>2206</v>
      </c>
      <c r="C866" s="5" t="s">
        <v>34</v>
      </c>
      <c r="D866" s="5" t="s">
        <v>35</v>
      </c>
      <c r="E866" s="5" t="s">
        <v>471</v>
      </c>
      <c r="F866" s="9">
        <v>51</v>
      </c>
      <c r="G866" s="9">
        <v>606</v>
      </c>
      <c r="H866" s="5" t="s">
        <v>20</v>
      </c>
      <c r="I866" s="5" t="s">
        <v>2207</v>
      </c>
      <c r="J866" s="12" t="str">
        <f>HYPERLINK("https://www.boe.es/gazeta/dias/1807/06/16/pdfs/GMD-1807-51.pdf#page=8","Abrir facsímil")</f>
        <v>Abrir facsímil</v>
      </c>
      <c r="K866" s="15" t="s">
        <v>22</v>
      </c>
    </row>
    <row r="867" spans="1:11" ht="42" customHeight="1">
      <c r="A867" s="4" t="s">
        <v>2208</v>
      </c>
      <c r="B867" s="5" t="s">
        <v>2208</v>
      </c>
      <c r="C867" s="5" t="s">
        <v>49</v>
      </c>
      <c r="D867" s="5" t="s">
        <v>50</v>
      </c>
      <c r="E867" s="5" t="s">
        <v>183</v>
      </c>
      <c r="F867" s="9">
        <v>1</v>
      </c>
      <c r="G867" s="9">
        <v>7</v>
      </c>
      <c r="H867" s="5" t="s">
        <v>20</v>
      </c>
      <c r="I867" s="5" t="s">
        <v>2209</v>
      </c>
      <c r="J867" s="12" t="str">
        <f>HYPERLINK("https://www.boe.es/gazeta/dias/1807/01/02/pdfs/GMD-1807-1.pdf#page=7","Abrir facsímil")</f>
        <v>Abrir facsímil</v>
      </c>
      <c r="K867" s="15" t="s">
        <v>22</v>
      </c>
    </row>
    <row r="868" spans="1:11" ht="42" customHeight="1">
      <c r="A868" s="4" t="s">
        <v>2210</v>
      </c>
      <c r="B868" s="5" t="s">
        <v>2210</v>
      </c>
      <c r="C868" s="5" t="s">
        <v>24</v>
      </c>
      <c r="D868" s="5" t="s">
        <v>18</v>
      </c>
      <c r="E868" s="5" t="s">
        <v>123</v>
      </c>
      <c r="F868" s="9">
        <v>70</v>
      </c>
      <c r="G868" s="9">
        <v>804</v>
      </c>
      <c r="H868" s="5" t="s">
        <v>20</v>
      </c>
      <c r="I868" s="5" t="s">
        <v>2211</v>
      </c>
      <c r="J868" s="12" t="str">
        <f>HYPERLINK("https://www.boe.es/gazeta/dias/1807/08/04/pdfs/GMD-1807-70.pdf#page=8","Abrir facsímil")</f>
        <v>Abrir facsímil</v>
      </c>
      <c r="K868" s="15" t="s">
        <v>22</v>
      </c>
    </row>
    <row r="869" spans="1:11" ht="42" customHeight="1">
      <c r="A869" s="4" t="s">
        <v>2212</v>
      </c>
      <c r="B869" s="5" t="s">
        <v>2213</v>
      </c>
      <c r="C869" s="5" t="s">
        <v>49</v>
      </c>
      <c r="D869" s="5" t="s">
        <v>50</v>
      </c>
      <c r="E869" s="5" t="s">
        <v>79</v>
      </c>
      <c r="F869" s="9">
        <v>11</v>
      </c>
      <c r="G869" s="9">
        <v>122</v>
      </c>
      <c r="H869" s="5" t="s">
        <v>20</v>
      </c>
      <c r="I869" s="5" t="s">
        <v>2214</v>
      </c>
      <c r="J869" s="12" t="str">
        <f>HYPERLINK("https://www.boe.es/gazeta/dias/1807/01/30/pdfs/GMD-1807-11.pdf#page=6","Abrir facsímil")</f>
        <v>Abrir facsímil</v>
      </c>
      <c r="K869" s="15" t="s">
        <v>22</v>
      </c>
    </row>
    <row r="870" spans="1:11" ht="42" customHeight="1">
      <c r="A870" s="4" t="s">
        <v>2215</v>
      </c>
      <c r="B870" s="5" t="s">
        <v>2215</v>
      </c>
      <c r="C870" s="5" t="s">
        <v>49</v>
      </c>
      <c r="D870" s="5" t="s">
        <v>50</v>
      </c>
      <c r="E870" s="5" t="s">
        <v>79</v>
      </c>
      <c r="F870" s="9">
        <v>11</v>
      </c>
      <c r="G870" s="9">
        <v>119</v>
      </c>
      <c r="H870" s="5" t="s">
        <v>20</v>
      </c>
      <c r="I870" s="5" t="s">
        <v>2216</v>
      </c>
      <c r="J870" s="12" t="str">
        <f>HYPERLINK("https://www.boe.es/gazeta/dias/1807/01/30/pdfs/GMD-1807-11.pdf#page=3","Abrir facsímil")</f>
        <v>Abrir facsímil</v>
      </c>
      <c r="K870" s="15" t="s">
        <v>22</v>
      </c>
    </row>
    <row r="871" spans="1:11" ht="42" customHeight="1">
      <c r="A871" s="4" t="s">
        <v>2215</v>
      </c>
      <c r="B871" s="5" t="s">
        <v>2215</v>
      </c>
      <c r="C871" s="5" t="s">
        <v>49</v>
      </c>
      <c r="D871" s="5" t="s">
        <v>50</v>
      </c>
      <c r="E871" s="5" t="s">
        <v>42</v>
      </c>
      <c r="F871" s="9">
        <v>31</v>
      </c>
      <c r="G871" s="9">
        <v>363</v>
      </c>
      <c r="H871" s="5" t="s">
        <v>20</v>
      </c>
      <c r="I871" s="5" t="s">
        <v>2217</v>
      </c>
      <c r="J871" s="12" t="str">
        <f>HYPERLINK("https://www.boe.es/gazeta/dias/1807/04/07/pdfs/GMD-1807-31.pdf#page=3","Abrir facsímil")</f>
        <v>Abrir facsímil</v>
      </c>
      <c r="K871" s="15" t="s">
        <v>22</v>
      </c>
    </row>
    <row r="872" spans="1:11" ht="42" customHeight="1">
      <c r="A872" s="4" t="s">
        <v>2215</v>
      </c>
      <c r="B872" s="5" t="s">
        <v>2215</v>
      </c>
      <c r="C872" s="5" t="s">
        <v>24</v>
      </c>
      <c r="D872" s="5" t="s">
        <v>18</v>
      </c>
      <c r="E872" s="5" t="s">
        <v>42</v>
      </c>
      <c r="F872" s="9">
        <v>31</v>
      </c>
      <c r="G872" s="9">
        <v>364</v>
      </c>
      <c r="H872" s="5" t="s">
        <v>20</v>
      </c>
      <c r="I872" s="5" t="s">
        <v>2218</v>
      </c>
      <c r="J872" s="12" t="str">
        <f>HYPERLINK("https://www.boe.es/gazeta/dias/1807/04/07/pdfs/GMD-1807-31.pdf#page=4","Abrir facsímil")</f>
        <v>Abrir facsímil</v>
      </c>
      <c r="K872" s="15" t="s">
        <v>22</v>
      </c>
    </row>
    <row r="873" spans="1:11" ht="42" customHeight="1">
      <c r="A873" s="4" t="s">
        <v>2215</v>
      </c>
      <c r="B873" s="5" t="s">
        <v>2215</v>
      </c>
      <c r="C873" s="5" t="s">
        <v>49</v>
      </c>
      <c r="D873" s="5" t="s">
        <v>50</v>
      </c>
      <c r="E873" s="5" t="s">
        <v>19</v>
      </c>
      <c r="F873" s="9">
        <v>41</v>
      </c>
      <c r="G873" s="9">
        <v>486</v>
      </c>
      <c r="H873" s="5" t="s">
        <v>20</v>
      </c>
      <c r="I873" s="5" t="s">
        <v>2219</v>
      </c>
      <c r="J873" s="12" t="str">
        <f>HYPERLINK("https://www.boe.es/gazeta/dias/1807/05/12/pdfs/GMD-1807-41.pdf#page=4","Abrir facsímil")</f>
        <v>Abrir facsímil</v>
      </c>
      <c r="K873" s="15" t="s">
        <v>22</v>
      </c>
    </row>
    <row r="874" spans="1:11" ht="42" customHeight="1">
      <c r="A874" s="4" t="s">
        <v>2215</v>
      </c>
      <c r="B874" s="5" t="s">
        <v>2215</v>
      </c>
      <c r="C874" s="5" t="s">
        <v>49</v>
      </c>
      <c r="D874" s="5" t="s">
        <v>50</v>
      </c>
      <c r="E874" s="5" t="s">
        <v>567</v>
      </c>
      <c r="F874" s="9">
        <v>55</v>
      </c>
      <c r="G874" s="9">
        <v>655</v>
      </c>
      <c r="H874" s="5" t="s">
        <v>20</v>
      </c>
      <c r="I874" s="5" t="s">
        <v>2220</v>
      </c>
      <c r="J874" s="12" t="str">
        <f>HYPERLINK("https://www.boe.es/gazeta/dias/1807/06/30/pdfs/GMD-1807-55.pdf#page=5","Abrir facsímil")</f>
        <v>Abrir facsímil</v>
      </c>
      <c r="K874" s="15" t="s">
        <v>22</v>
      </c>
    </row>
    <row r="875" spans="1:11" ht="42" customHeight="1">
      <c r="A875" s="4" t="s">
        <v>2215</v>
      </c>
      <c r="B875" s="5" t="s">
        <v>2215</v>
      </c>
      <c r="C875" s="5" t="s">
        <v>28</v>
      </c>
      <c r="D875" s="5" t="s">
        <v>29</v>
      </c>
      <c r="E875" s="5" t="s">
        <v>152</v>
      </c>
      <c r="F875" s="9">
        <v>61</v>
      </c>
      <c r="G875" s="9">
        <v>718</v>
      </c>
      <c r="H875" s="5" t="s">
        <v>20</v>
      </c>
      <c r="I875" s="5" t="s">
        <v>2221</v>
      </c>
      <c r="J875" s="12" t="str">
        <f>HYPERLINK("https://www.boe.es/gazeta/dias/1807/07/14/pdfs/GMD-1807-61.pdf#page=4","Abrir facsímil")</f>
        <v>Abrir facsímil</v>
      </c>
      <c r="K875" s="15" t="s">
        <v>22</v>
      </c>
    </row>
    <row r="876" spans="1:11" ht="42" customHeight="1">
      <c r="A876" s="4" t="s">
        <v>2215</v>
      </c>
      <c r="B876" s="5" t="s">
        <v>2215</v>
      </c>
      <c r="C876" s="5" t="s">
        <v>49</v>
      </c>
      <c r="D876" s="5" t="s">
        <v>50</v>
      </c>
      <c r="E876" s="5" t="s">
        <v>444</v>
      </c>
      <c r="F876" s="9">
        <v>95</v>
      </c>
      <c r="G876" s="9">
        <v>1101</v>
      </c>
      <c r="H876" s="5" t="s">
        <v>20</v>
      </c>
      <c r="I876" s="5" t="s">
        <v>2222</v>
      </c>
      <c r="J876" s="12" t="str">
        <f>HYPERLINK("https://www.boe.es/gazeta/dias/1807/10/23/pdfs/GMD-1807-95.pdf#page=5","Abrir facsímil")</f>
        <v>Abrir facsímil</v>
      </c>
      <c r="K876" s="15" t="s">
        <v>22</v>
      </c>
    </row>
    <row r="877" spans="1:11" ht="42" customHeight="1">
      <c r="A877" s="4" t="s">
        <v>2223</v>
      </c>
      <c r="B877" s="5" t="s">
        <v>2224</v>
      </c>
      <c r="C877" s="5" t="s">
        <v>34</v>
      </c>
      <c r="D877" s="5" t="s">
        <v>35</v>
      </c>
      <c r="E877" s="5" t="s">
        <v>666</v>
      </c>
      <c r="F877" s="9">
        <v>43</v>
      </c>
      <c r="G877" s="9">
        <v>515</v>
      </c>
      <c r="H877" s="5" t="s">
        <v>20</v>
      </c>
      <c r="I877" s="5" t="s">
        <v>2225</v>
      </c>
      <c r="J877" s="12" t="str">
        <f>HYPERLINK("https://www.boe.es/gazeta/dias/1807/05/19/pdfs/GMD-1807-43.pdf#page=9","Abrir facsímil")</f>
        <v>Abrir facsímil</v>
      </c>
      <c r="K877" s="15" t="s">
        <v>22</v>
      </c>
    </row>
    <row r="878" spans="1:11" ht="42" customHeight="1">
      <c r="A878" s="4" t="s">
        <v>2226</v>
      </c>
      <c r="B878" s="5" t="s">
        <v>2227</v>
      </c>
      <c r="C878" s="5" t="s">
        <v>17</v>
      </c>
      <c r="D878" s="5" t="s">
        <v>18</v>
      </c>
      <c r="E878" s="5" t="s">
        <v>79</v>
      </c>
      <c r="F878" s="9">
        <v>11</v>
      </c>
      <c r="G878" s="9">
        <v>127</v>
      </c>
      <c r="H878" s="5" t="s">
        <v>20</v>
      </c>
      <c r="I878" s="5" t="s">
        <v>2228</v>
      </c>
      <c r="J878" s="12" t="str">
        <f>HYPERLINK("https://www.boe.es/gazeta/dias/1807/01/30/pdfs/GMD-1807-11.pdf#page=11","Abrir facsímil")</f>
        <v>Abrir facsímil</v>
      </c>
      <c r="K878" s="15" t="s">
        <v>22</v>
      </c>
    </row>
    <row r="879" spans="1:11" ht="42" customHeight="1">
      <c r="A879" s="4" t="s">
        <v>2226</v>
      </c>
      <c r="B879" s="5" t="s">
        <v>2227</v>
      </c>
      <c r="C879" s="5" t="s">
        <v>17</v>
      </c>
      <c r="D879" s="5" t="s">
        <v>18</v>
      </c>
      <c r="E879" s="5" t="s">
        <v>208</v>
      </c>
      <c r="F879" s="9">
        <v>42</v>
      </c>
      <c r="G879" s="9">
        <v>505</v>
      </c>
      <c r="H879" s="5" t="s">
        <v>20</v>
      </c>
      <c r="I879" s="5" t="s">
        <v>2229</v>
      </c>
      <c r="J879" s="12" t="str">
        <f>HYPERLINK("https://www.boe.es/gazeta/dias/1807/05/15/pdfs/GMD-1807-42.pdf#page=11","Abrir facsímil")</f>
        <v>Abrir facsímil</v>
      </c>
      <c r="K879" s="15" t="s">
        <v>22</v>
      </c>
    </row>
    <row r="880" spans="1:11" ht="42" customHeight="1">
      <c r="A880" s="4" t="s">
        <v>2230</v>
      </c>
      <c r="B880" s="5" t="s">
        <v>2231</v>
      </c>
      <c r="C880" s="5" t="s">
        <v>28</v>
      </c>
      <c r="D880" s="5" t="s">
        <v>29</v>
      </c>
      <c r="E880" s="5" t="s">
        <v>259</v>
      </c>
      <c r="F880" s="9">
        <v>3</v>
      </c>
      <c r="G880" s="9">
        <v>26</v>
      </c>
      <c r="H880" s="5" t="s">
        <v>20</v>
      </c>
      <c r="I880" s="5" t="s">
        <v>2232</v>
      </c>
      <c r="J880" s="12" t="str">
        <f>HYPERLINK("https://www.boe.es/gazeta/dias/1807/01/09/pdfs/GMD-1807-3.pdf#page=6","Abrir facsímil")</f>
        <v>Abrir facsímil</v>
      </c>
      <c r="K880" s="15" t="s">
        <v>22</v>
      </c>
    </row>
    <row r="881" spans="1:11" ht="42" customHeight="1">
      <c r="A881" s="4" t="s">
        <v>2230</v>
      </c>
      <c r="B881" s="5" t="s">
        <v>2231</v>
      </c>
      <c r="C881" s="5" t="s">
        <v>28</v>
      </c>
      <c r="D881" s="5" t="s">
        <v>29</v>
      </c>
      <c r="E881" s="5" t="s">
        <v>215</v>
      </c>
      <c r="F881" s="9">
        <v>5</v>
      </c>
      <c r="G881" s="9">
        <v>49</v>
      </c>
      <c r="H881" s="5" t="s">
        <v>20</v>
      </c>
      <c r="I881" s="5" t="s">
        <v>2233</v>
      </c>
      <c r="J881" s="12" t="str">
        <f>HYPERLINK("https://www.boe.es/gazeta/dias/1807/01/16/pdfs/GMD-1807-5.pdf#page=5","Abrir facsímil")</f>
        <v>Abrir facsímil</v>
      </c>
      <c r="K881" s="15" t="s">
        <v>22</v>
      </c>
    </row>
    <row r="882" spans="1:11" ht="42" customHeight="1">
      <c r="A882" s="4" t="s">
        <v>2230</v>
      </c>
      <c r="B882" s="5" t="s">
        <v>2231</v>
      </c>
      <c r="C882" s="5" t="s">
        <v>252</v>
      </c>
      <c r="D882" s="5" t="s">
        <v>253</v>
      </c>
      <c r="E882" s="5" t="s">
        <v>534</v>
      </c>
      <c r="F882" s="9" t="s">
        <v>535</v>
      </c>
      <c r="G882" s="9">
        <v>100</v>
      </c>
      <c r="H882" s="5" t="s">
        <v>20</v>
      </c>
      <c r="I882" s="5" t="s">
        <v>2234</v>
      </c>
      <c r="J882" s="12" t="str">
        <f>HYPERLINK("https://www.boe.es/gazeta/dias/1807/01/24/pdfs/GMD-1807-9E.pdf#page=4","Abrir facsímil")</f>
        <v>Abrir facsímil</v>
      </c>
      <c r="K882" s="15" t="s">
        <v>22</v>
      </c>
    </row>
    <row r="883" spans="1:11" ht="42" customHeight="1">
      <c r="A883" s="4" t="s">
        <v>2230</v>
      </c>
      <c r="B883" s="5" t="s">
        <v>2231</v>
      </c>
      <c r="C883" s="5" t="s">
        <v>252</v>
      </c>
      <c r="D883" s="5" t="s">
        <v>253</v>
      </c>
      <c r="E883" s="5" t="s">
        <v>534</v>
      </c>
      <c r="F883" s="9" t="s">
        <v>535</v>
      </c>
      <c r="G883" s="9">
        <v>101</v>
      </c>
      <c r="H883" s="5" t="s">
        <v>20</v>
      </c>
      <c r="I883" s="5" t="s">
        <v>2235</v>
      </c>
      <c r="J883" s="12" t="str">
        <f>HYPERLINK("https://www.boe.es/gazeta/dias/1807/01/24/pdfs/GMD-1807-9E.pdf#page=5","Abrir facsímil")</f>
        <v>Abrir facsímil</v>
      </c>
      <c r="K883" s="15" t="s">
        <v>22</v>
      </c>
    </row>
    <row r="884" spans="1:11" ht="42" customHeight="1">
      <c r="A884" s="4" t="s">
        <v>2230</v>
      </c>
      <c r="B884" s="5" t="s">
        <v>2231</v>
      </c>
      <c r="C884" s="5" t="s">
        <v>24</v>
      </c>
      <c r="D884" s="5" t="s">
        <v>18</v>
      </c>
      <c r="E884" s="5" t="s">
        <v>534</v>
      </c>
      <c r="F884" s="9" t="s">
        <v>535</v>
      </c>
      <c r="G884" s="9">
        <v>98</v>
      </c>
      <c r="H884" s="5" t="s">
        <v>20</v>
      </c>
      <c r="I884" s="5" t="s">
        <v>2236</v>
      </c>
      <c r="J884" s="12" t="str">
        <f>HYPERLINK("https://www.boe.es/gazeta/dias/1807/01/24/pdfs/GMD-1807-9E.pdf#page=2","Abrir facsímil")</f>
        <v>Abrir facsímil</v>
      </c>
      <c r="K884" s="15" t="s">
        <v>22</v>
      </c>
    </row>
    <row r="885" spans="1:11" ht="42" customHeight="1">
      <c r="A885" s="4" t="s">
        <v>2230</v>
      </c>
      <c r="B885" s="5" t="s">
        <v>2231</v>
      </c>
      <c r="C885" s="5" t="s">
        <v>252</v>
      </c>
      <c r="D885" s="5" t="s">
        <v>253</v>
      </c>
      <c r="E885" s="5" t="s">
        <v>534</v>
      </c>
      <c r="F885" s="9" t="s">
        <v>535</v>
      </c>
      <c r="G885" s="9">
        <v>99</v>
      </c>
      <c r="H885" s="5" t="s">
        <v>20</v>
      </c>
      <c r="I885" s="5" t="s">
        <v>2237</v>
      </c>
      <c r="J885" s="12" t="str">
        <f>HYPERLINK("https://www.boe.es/gazeta/dias/1807/01/24/pdfs/GMD-1807-9E.pdf#page=3","Abrir facsímil")</f>
        <v>Abrir facsímil</v>
      </c>
      <c r="K885" s="15" t="s">
        <v>22</v>
      </c>
    </row>
    <row r="886" spans="1:11" ht="42" customHeight="1">
      <c r="A886" s="4" t="s">
        <v>2230</v>
      </c>
      <c r="B886" s="5" t="s">
        <v>2231</v>
      </c>
      <c r="C886" s="5" t="s">
        <v>49</v>
      </c>
      <c r="D886" s="5" t="s">
        <v>50</v>
      </c>
      <c r="E886" s="5" t="s">
        <v>79</v>
      </c>
      <c r="F886" s="9">
        <v>11</v>
      </c>
      <c r="G886" s="9">
        <v>122</v>
      </c>
      <c r="H886" s="5" t="s">
        <v>20</v>
      </c>
      <c r="I886" s="5" t="s">
        <v>2238</v>
      </c>
      <c r="J886" s="12" t="str">
        <f>HYPERLINK("https://www.boe.es/gazeta/dias/1807/01/30/pdfs/GMD-1807-11.pdf#page=6","Abrir facsímil")</f>
        <v>Abrir facsímil</v>
      </c>
      <c r="K886" s="15" t="s">
        <v>22</v>
      </c>
    </row>
    <row r="887" spans="1:11" ht="42" customHeight="1">
      <c r="A887" s="4" t="s">
        <v>2230</v>
      </c>
      <c r="B887" s="5" t="s">
        <v>2231</v>
      </c>
      <c r="C887" s="5" t="s">
        <v>49</v>
      </c>
      <c r="D887" s="5" t="s">
        <v>50</v>
      </c>
      <c r="E887" s="5" t="s">
        <v>572</v>
      </c>
      <c r="F887" s="9">
        <v>14</v>
      </c>
      <c r="G887" s="9">
        <v>157</v>
      </c>
      <c r="H887" s="5" t="s">
        <v>20</v>
      </c>
      <c r="I887" s="5" t="s">
        <v>2239</v>
      </c>
      <c r="J887" s="12" t="str">
        <f>HYPERLINK("https://www.boe.es/gazeta/dias/1807/02/10/pdfs/GMD-1807-14.pdf#page=5","Abrir facsímil")</f>
        <v>Abrir facsímil</v>
      </c>
      <c r="K887" s="15" t="s">
        <v>22</v>
      </c>
    </row>
    <row r="888" spans="1:11" ht="42" customHeight="1">
      <c r="A888" s="4" t="s">
        <v>2240</v>
      </c>
      <c r="B888" s="5" t="s">
        <v>2241</v>
      </c>
      <c r="C888" s="5" t="s">
        <v>28</v>
      </c>
      <c r="D888" s="5" t="s">
        <v>29</v>
      </c>
      <c r="E888" s="5" t="s">
        <v>42</v>
      </c>
      <c r="F888" s="9">
        <v>31</v>
      </c>
      <c r="G888" s="9">
        <v>367</v>
      </c>
      <c r="H888" s="5" t="s">
        <v>20</v>
      </c>
      <c r="I888" s="5" t="s">
        <v>2242</v>
      </c>
      <c r="J888" s="12" t="str">
        <f>HYPERLINK("https://www.boe.es/gazeta/dias/1807/04/07/pdfs/GMD-1807-31.pdf#page=7","Abrir facsímil")</f>
        <v>Abrir facsímil</v>
      </c>
      <c r="K888" s="15" t="s">
        <v>22</v>
      </c>
    </row>
    <row r="889" spans="1:11" ht="42" customHeight="1">
      <c r="A889" s="4" t="s">
        <v>2243</v>
      </c>
      <c r="B889" s="5" t="s">
        <v>2244</v>
      </c>
      <c r="C889" s="5" t="s">
        <v>28</v>
      </c>
      <c r="D889" s="5" t="s">
        <v>29</v>
      </c>
      <c r="E889" s="5" t="s">
        <v>321</v>
      </c>
      <c r="F889" s="9">
        <v>75</v>
      </c>
      <c r="G889" s="9">
        <v>871</v>
      </c>
      <c r="H889" s="5" t="s">
        <v>20</v>
      </c>
      <c r="I889" s="5" t="s">
        <v>2245</v>
      </c>
      <c r="J889" s="12" t="str">
        <f>HYPERLINK("https://www.boe.es/gazeta/dias/1807/08/21/pdfs/GMD-1807-75.pdf#page=11","Abrir facsímil")</f>
        <v>Abrir facsímil</v>
      </c>
      <c r="K889" s="15" t="s">
        <v>22</v>
      </c>
    </row>
    <row r="890" spans="1:11" ht="42" customHeight="1">
      <c r="A890" s="4" t="s">
        <v>2246</v>
      </c>
      <c r="B890" s="5" t="s">
        <v>2247</v>
      </c>
      <c r="C890" s="5" t="s">
        <v>17</v>
      </c>
      <c r="D890" s="5" t="s">
        <v>18</v>
      </c>
      <c r="E890" s="5" t="s">
        <v>390</v>
      </c>
      <c r="F890" s="9">
        <v>24</v>
      </c>
      <c r="G890" s="9">
        <v>287</v>
      </c>
      <c r="H890" s="5" t="s">
        <v>20</v>
      </c>
      <c r="I890" s="5" t="s">
        <v>2248</v>
      </c>
      <c r="J890" s="12" t="str">
        <f>HYPERLINK("https://www.boe.es/gazeta/dias/1807/03/13/pdfs/GMD-1807-24.pdf#page=11","Abrir facsímil")</f>
        <v>Abrir facsímil</v>
      </c>
      <c r="K890" s="15" t="s">
        <v>22</v>
      </c>
    </row>
    <row r="891" spans="1:11" ht="42" customHeight="1">
      <c r="A891" s="4" t="s">
        <v>2249</v>
      </c>
      <c r="B891" s="5" t="s">
        <v>2250</v>
      </c>
      <c r="C891" s="5" t="s">
        <v>24</v>
      </c>
      <c r="D891" s="5" t="s">
        <v>18</v>
      </c>
      <c r="E891" s="5" t="s">
        <v>561</v>
      </c>
      <c r="F891" s="9">
        <v>44</v>
      </c>
      <c r="G891" s="9">
        <v>530</v>
      </c>
      <c r="H891" s="5" t="s">
        <v>20</v>
      </c>
      <c r="I891" s="5" t="s">
        <v>2251</v>
      </c>
      <c r="J891" s="12" t="str">
        <f>HYPERLINK("https://www.boe.es/gazeta/dias/1807/05/22/pdfs/GMD-1807-44.pdf#page=12","Abrir facsímil")</f>
        <v>Abrir facsímil</v>
      </c>
      <c r="K891" s="15" t="s">
        <v>22</v>
      </c>
    </row>
    <row r="892" spans="1:11" ht="42" customHeight="1">
      <c r="A892" s="4" t="s">
        <v>2252</v>
      </c>
      <c r="B892" s="5" t="s">
        <v>2253</v>
      </c>
      <c r="C892" s="5" t="s">
        <v>34</v>
      </c>
      <c r="D892" s="5" t="s">
        <v>35</v>
      </c>
      <c r="E892" s="5" t="s">
        <v>42</v>
      </c>
      <c r="F892" s="9">
        <v>31</v>
      </c>
      <c r="G892" s="9">
        <v>371</v>
      </c>
      <c r="H892" s="5" t="s">
        <v>20</v>
      </c>
      <c r="I892" s="5" t="s">
        <v>2254</v>
      </c>
      <c r="J892" s="12" t="str">
        <f>HYPERLINK("https://www.boe.es/gazeta/dias/1807/04/07/pdfs/GMD-1807-31.pdf#page=11","Abrir facsímil")</f>
        <v>Abrir facsímil</v>
      </c>
      <c r="K892" s="15" t="s">
        <v>22</v>
      </c>
    </row>
    <row r="893" spans="1:11" ht="42" customHeight="1">
      <c r="A893" s="4" t="s">
        <v>2252</v>
      </c>
      <c r="B893" s="5" t="s">
        <v>2253</v>
      </c>
      <c r="C893" s="5" t="s">
        <v>24</v>
      </c>
      <c r="D893" s="5" t="s">
        <v>18</v>
      </c>
      <c r="E893" s="5" t="s">
        <v>471</v>
      </c>
      <c r="F893" s="9">
        <v>51</v>
      </c>
      <c r="G893" s="9">
        <v>608</v>
      </c>
      <c r="H893" s="5" t="s">
        <v>20</v>
      </c>
      <c r="I893" s="5" t="s">
        <v>2255</v>
      </c>
      <c r="J893" s="12" t="str">
        <f>HYPERLINK("https://www.boe.es/gazeta/dias/1807/06/16/pdfs/GMD-1807-51.pdf#page=10","Abrir facsímil")</f>
        <v>Abrir facsímil</v>
      </c>
      <c r="K893" s="15" t="s">
        <v>22</v>
      </c>
    </row>
    <row r="894" spans="1:11" ht="42" customHeight="1">
      <c r="A894" s="4" t="s">
        <v>2256</v>
      </c>
      <c r="B894" s="5" t="s">
        <v>2257</v>
      </c>
      <c r="C894" s="5" t="s">
        <v>34</v>
      </c>
      <c r="D894" s="5" t="s">
        <v>35</v>
      </c>
      <c r="E894" s="5" t="s">
        <v>530</v>
      </c>
      <c r="F894" s="9">
        <v>79</v>
      </c>
      <c r="G894" s="9">
        <v>918</v>
      </c>
      <c r="H894" s="5" t="s">
        <v>20</v>
      </c>
      <c r="I894" s="5" t="s">
        <v>2258</v>
      </c>
      <c r="J894" s="12" t="str">
        <f>HYPERLINK("https://www.boe.es/gazeta/dias/1807/09/04/pdfs/GMD-1807-79.pdf#page=10","Abrir facsímil")</f>
        <v>Abrir facsímil</v>
      </c>
      <c r="K894" s="15" t="s">
        <v>22</v>
      </c>
    </row>
    <row r="895" spans="1:11" ht="42" customHeight="1">
      <c r="A895" s="4" t="s">
        <v>2259</v>
      </c>
      <c r="B895" s="5" t="s">
        <v>2260</v>
      </c>
      <c r="C895" s="5" t="s">
        <v>28</v>
      </c>
      <c r="D895" s="5" t="s">
        <v>29</v>
      </c>
      <c r="E895" s="5" t="s">
        <v>101</v>
      </c>
      <c r="F895" s="9">
        <v>23</v>
      </c>
      <c r="G895" s="9">
        <v>271</v>
      </c>
      <c r="H895" s="5" t="s">
        <v>20</v>
      </c>
      <c r="I895" s="5" t="s">
        <v>2261</v>
      </c>
      <c r="J895" s="12" t="str">
        <f>HYPERLINK("https://www.boe.es/gazeta/dias/1807/03/10/pdfs/GMD-1807-23.pdf#page=11","Abrir facsímil")</f>
        <v>Abrir facsímil</v>
      </c>
      <c r="K895" s="15" t="s">
        <v>22</v>
      </c>
    </row>
    <row r="896" spans="1:11" ht="42" customHeight="1">
      <c r="A896" s="4" t="s">
        <v>2262</v>
      </c>
      <c r="B896" s="5" t="s">
        <v>2263</v>
      </c>
      <c r="C896" s="5" t="s">
        <v>252</v>
      </c>
      <c r="D896" s="5" t="s">
        <v>253</v>
      </c>
      <c r="E896" s="5" t="s">
        <v>314</v>
      </c>
      <c r="F896" s="9" t="s">
        <v>315</v>
      </c>
      <c r="G896" s="9">
        <v>1222</v>
      </c>
      <c r="H896" s="5" t="s">
        <v>20</v>
      </c>
      <c r="I896" s="5" t="s">
        <v>2264</v>
      </c>
      <c r="J896" s="12" t="str">
        <f>HYPERLINK("https://www.boe.es/gazeta/dias/1807/11/26/pdfs/GMD-1807-105E.pdf#page=6","Abrir facsímil")</f>
        <v>Abrir facsímil</v>
      </c>
      <c r="K896" s="15" t="s">
        <v>22</v>
      </c>
    </row>
    <row r="897" spans="1:11" ht="42" customHeight="1">
      <c r="A897" s="4" t="s">
        <v>2265</v>
      </c>
      <c r="B897" s="5" t="s">
        <v>2266</v>
      </c>
      <c r="C897" s="5" t="s">
        <v>34</v>
      </c>
      <c r="D897" s="5" t="s">
        <v>35</v>
      </c>
      <c r="E897" s="5" t="s">
        <v>42</v>
      </c>
      <c r="F897" s="9">
        <v>31</v>
      </c>
      <c r="G897" s="9">
        <v>368</v>
      </c>
      <c r="H897" s="5" t="s">
        <v>20</v>
      </c>
      <c r="I897" s="5" t="s">
        <v>2267</v>
      </c>
      <c r="J897" s="12" t="str">
        <f>HYPERLINK("https://www.boe.es/gazeta/dias/1807/04/07/pdfs/GMD-1807-31.pdf#page=8","Abrir facsímil")</f>
        <v>Abrir facsímil</v>
      </c>
      <c r="K897" s="15" t="s">
        <v>22</v>
      </c>
    </row>
    <row r="898" spans="1:11" ht="42" customHeight="1">
      <c r="A898" s="4" t="s">
        <v>2268</v>
      </c>
      <c r="B898" s="5" t="s">
        <v>2269</v>
      </c>
      <c r="C898" s="5" t="s">
        <v>34</v>
      </c>
      <c r="D898" s="5" t="s">
        <v>35</v>
      </c>
      <c r="E898" s="5" t="s">
        <v>259</v>
      </c>
      <c r="F898" s="9">
        <v>3</v>
      </c>
      <c r="G898" s="9">
        <v>27</v>
      </c>
      <c r="H898" s="5" t="s">
        <v>20</v>
      </c>
      <c r="I898" s="5" t="s">
        <v>2270</v>
      </c>
      <c r="J898" s="12" t="str">
        <f>HYPERLINK("https://www.boe.es/gazeta/dias/1807/01/09/pdfs/GMD-1807-3.pdf#page=7","Abrir facsímil")</f>
        <v>Abrir facsímil</v>
      </c>
      <c r="K898" s="15" t="s">
        <v>22</v>
      </c>
    </row>
    <row r="899" spans="1:11" ht="42" customHeight="1">
      <c r="A899" s="4" t="s">
        <v>2271</v>
      </c>
      <c r="B899" s="5" t="s">
        <v>2272</v>
      </c>
      <c r="C899" s="5" t="s">
        <v>28</v>
      </c>
      <c r="D899" s="5" t="s">
        <v>29</v>
      </c>
      <c r="E899" s="5" t="s">
        <v>101</v>
      </c>
      <c r="F899" s="9">
        <v>23</v>
      </c>
      <c r="G899" s="9">
        <v>271</v>
      </c>
      <c r="H899" s="5" t="s">
        <v>20</v>
      </c>
      <c r="I899" s="5" t="s">
        <v>2273</v>
      </c>
      <c r="J899" s="12" t="str">
        <f>HYPERLINK("https://www.boe.es/gazeta/dias/1807/03/10/pdfs/GMD-1807-23.pdf#page=11","Abrir facsímil")</f>
        <v>Abrir facsímil</v>
      </c>
      <c r="K899" s="15" t="s">
        <v>22</v>
      </c>
    </row>
    <row r="900" spans="1:11" ht="42" customHeight="1">
      <c r="A900" s="4" t="s">
        <v>2274</v>
      </c>
      <c r="B900" s="5" t="s">
        <v>2275</v>
      </c>
      <c r="C900" s="5" t="s">
        <v>89</v>
      </c>
      <c r="D900" s="5" t="s">
        <v>90</v>
      </c>
      <c r="E900" s="5" t="s">
        <v>426</v>
      </c>
      <c r="F900" s="9">
        <v>93</v>
      </c>
      <c r="G900" s="9">
        <v>1081</v>
      </c>
      <c r="H900" s="5" t="s">
        <v>20</v>
      </c>
      <c r="I900" s="5" t="s">
        <v>2276</v>
      </c>
      <c r="J900" s="12" t="str">
        <f>HYPERLINK("https://www.boe.es/gazeta/dias/1807/10/16/pdfs/GMD-1807-93.pdf#page=9","Abrir facsímil")</f>
        <v>Abrir facsímil</v>
      </c>
      <c r="K900" s="15" t="s">
        <v>22</v>
      </c>
    </row>
    <row r="901" spans="1:11" ht="42" customHeight="1">
      <c r="A901" s="4" t="s">
        <v>2277</v>
      </c>
      <c r="B901" s="5" t="s">
        <v>2278</v>
      </c>
      <c r="C901" s="5" t="s">
        <v>34</v>
      </c>
      <c r="D901" s="5" t="s">
        <v>35</v>
      </c>
      <c r="E901" s="5" t="s">
        <v>595</v>
      </c>
      <c r="F901" s="9">
        <v>59</v>
      </c>
      <c r="G901" s="9">
        <v>705</v>
      </c>
      <c r="H901" s="5" t="s">
        <v>20</v>
      </c>
      <c r="I901" s="5" t="s">
        <v>2279</v>
      </c>
      <c r="J901" s="12" t="str">
        <f>HYPERLINK("https://www.boe.es/gazeta/dias/1807/07/10/pdfs/GMD-1807-59.pdf#page=11","Abrir facsímil")</f>
        <v>Abrir facsímil</v>
      </c>
      <c r="K901" s="15" t="s">
        <v>22</v>
      </c>
    </row>
    <row r="902" spans="1:11" ht="42" customHeight="1">
      <c r="A902" s="4" t="s">
        <v>2280</v>
      </c>
      <c r="B902" s="5" t="s">
        <v>2281</v>
      </c>
      <c r="C902" s="5" t="s">
        <v>34</v>
      </c>
      <c r="D902" s="5" t="s">
        <v>35</v>
      </c>
      <c r="E902" s="5" t="s">
        <v>498</v>
      </c>
      <c r="F902" s="9">
        <v>32</v>
      </c>
      <c r="G902" s="9">
        <v>380</v>
      </c>
      <c r="H902" s="5" t="s">
        <v>20</v>
      </c>
      <c r="I902" s="5" t="s">
        <v>2282</v>
      </c>
      <c r="J902" s="12" t="str">
        <f>HYPERLINK("https://www.boe.es/gazeta/dias/1807/04/10/pdfs/GMD-1807-32.pdf#page=8","Abrir facsímil")</f>
        <v>Abrir facsímil</v>
      </c>
      <c r="K902" s="15" t="s">
        <v>22</v>
      </c>
    </row>
    <row r="903" spans="1:11" ht="42" customHeight="1">
      <c r="A903" s="4" t="s">
        <v>2283</v>
      </c>
      <c r="B903" s="5" t="s">
        <v>2284</v>
      </c>
      <c r="C903" s="5" t="s">
        <v>34</v>
      </c>
      <c r="D903" s="5" t="s">
        <v>35</v>
      </c>
      <c r="E903" s="5" t="s">
        <v>620</v>
      </c>
      <c r="F903" s="9">
        <v>84</v>
      </c>
      <c r="G903" s="9">
        <v>983</v>
      </c>
      <c r="H903" s="5" t="s">
        <v>20</v>
      </c>
      <c r="I903" s="5" t="s">
        <v>2285</v>
      </c>
      <c r="J903" s="12" t="str">
        <f>HYPERLINK("https://www.boe.es/gazeta/dias/1807/09/22/pdfs/GMD-1807-84.pdf#page=11","Abrir facsímil")</f>
        <v>Abrir facsímil</v>
      </c>
      <c r="K903" s="15" t="s">
        <v>22</v>
      </c>
    </row>
    <row r="904" spans="1:11" ht="42" customHeight="1">
      <c r="A904" s="4" t="s">
        <v>2286</v>
      </c>
      <c r="B904" s="5" t="s">
        <v>2287</v>
      </c>
      <c r="C904" s="5" t="s">
        <v>17</v>
      </c>
      <c r="D904" s="5" t="s">
        <v>18</v>
      </c>
      <c r="E904" s="5" t="s">
        <v>530</v>
      </c>
      <c r="F904" s="9">
        <v>79</v>
      </c>
      <c r="G904" s="9">
        <v>918</v>
      </c>
      <c r="H904" s="5" t="s">
        <v>20</v>
      </c>
      <c r="I904" s="5" t="s">
        <v>2288</v>
      </c>
      <c r="J904" s="12" t="str">
        <f>HYPERLINK("https://www.boe.es/gazeta/dias/1807/09/04/pdfs/GMD-1807-79.pdf#page=10","Abrir facsímil")</f>
        <v>Abrir facsímil</v>
      </c>
      <c r="K904" s="15" t="s">
        <v>22</v>
      </c>
    </row>
    <row r="905" spans="1:11" ht="42" customHeight="1">
      <c r="A905" s="4" t="s">
        <v>2289</v>
      </c>
      <c r="B905" s="5" t="s">
        <v>2290</v>
      </c>
      <c r="C905" s="5" t="s">
        <v>28</v>
      </c>
      <c r="D905" s="5" t="s">
        <v>29</v>
      </c>
      <c r="E905" s="5" t="s">
        <v>319</v>
      </c>
      <c r="F905" s="9">
        <v>54</v>
      </c>
      <c r="G905" s="9">
        <v>645</v>
      </c>
      <c r="H905" s="5" t="s">
        <v>20</v>
      </c>
      <c r="I905" s="5" t="s">
        <v>2291</v>
      </c>
      <c r="J905" s="12" t="str">
        <f>HYPERLINK("https://www.boe.es/gazeta/dias/1807/06/26/pdfs/GMD-1807-54.pdf#page=7","Abrir facsímil")</f>
        <v>Abrir facsímil</v>
      </c>
      <c r="K905" s="15" t="s">
        <v>22</v>
      </c>
    </row>
    <row r="906" spans="1:11" ht="42" customHeight="1">
      <c r="A906" s="4" t="s">
        <v>2292</v>
      </c>
      <c r="B906" s="5" t="s">
        <v>2293</v>
      </c>
      <c r="C906" s="5" t="s">
        <v>34</v>
      </c>
      <c r="D906" s="5" t="s">
        <v>35</v>
      </c>
      <c r="E906" s="5" t="s">
        <v>25</v>
      </c>
      <c r="F906" s="9">
        <v>45</v>
      </c>
      <c r="G906" s="9">
        <v>536</v>
      </c>
      <c r="H906" s="5" t="s">
        <v>20</v>
      </c>
      <c r="I906" s="5" t="s">
        <v>2294</v>
      </c>
      <c r="J906" s="12" t="str">
        <f>HYPERLINK("https://www.boe.es/gazeta/dias/1807/05/26/pdfs/GMD-1807-45.pdf#page=6","Abrir facsímil")</f>
        <v>Abrir facsímil</v>
      </c>
      <c r="K906" s="15" t="s">
        <v>22</v>
      </c>
    </row>
    <row r="907" spans="1:11" ht="42" customHeight="1">
      <c r="A907" s="4" t="s">
        <v>2295</v>
      </c>
      <c r="B907" s="5" t="s">
        <v>2296</v>
      </c>
      <c r="C907" s="5" t="s">
        <v>34</v>
      </c>
      <c r="D907" s="5" t="s">
        <v>35</v>
      </c>
      <c r="E907" s="5" t="s">
        <v>40</v>
      </c>
      <c r="F907" s="9">
        <v>26</v>
      </c>
      <c r="G907" s="9">
        <v>313</v>
      </c>
      <c r="H907" s="5" t="s">
        <v>20</v>
      </c>
      <c r="I907" s="5" t="s">
        <v>2297</v>
      </c>
      <c r="J907" s="12" t="str">
        <f>HYPERLINK("https://www.boe.es/gazeta/dias/1807/03/20/pdfs/GMD-1807-26.pdf#page=9","Abrir facsímil")</f>
        <v>Abrir facsímil</v>
      </c>
      <c r="K907" s="15" t="s">
        <v>22</v>
      </c>
    </row>
    <row r="908" spans="1:11" ht="42" customHeight="1">
      <c r="A908" s="4" t="s">
        <v>2298</v>
      </c>
      <c r="B908" s="5" t="s">
        <v>2299</v>
      </c>
      <c r="C908" s="5" t="s">
        <v>252</v>
      </c>
      <c r="D908" s="5" t="s">
        <v>253</v>
      </c>
      <c r="E908" s="5" t="s">
        <v>314</v>
      </c>
      <c r="F908" s="9" t="s">
        <v>315</v>
      </c>
      <c r="G908" s="9">
        <v>1222</v>
      </c>
      <c r="H908" s="5" t="s">
        <v>20</v>
      </c>
      <c r="I908" s="5" t="s">
        <v>2300</v>
      </c>
      <c r="J908" s="12" t="str">
        <f>HYPERLINK("https://www.boe.es/gazeta/dias/1807/11/26/pdfs/GMD-1807-105E.pdf#page=6","Abrir facsímil")</f>
        <v>Abrir facsímil</v>
      </c>
      <c r="K908" s="15" t="s">
        <v>22</v>
      </c>
    </row>
    <row r="909" spans="1:11" ht="42" customHeight="1">
      <c r="A909" s="4" t="s">
        <v>2301</v>
      </c>
      <c r="B909" s="5" t="s">
        <v>2302</v>
      </c>
      <c r="C909" s="5" t="s">
        <v>17</v>
      </c>
      <c r="D909" s="5" t="s">
        <v>18</v>
      </c>
      <c r="E909" s="5" t="s">
        <v>51</v>
      </c>
      <c r="F909" s="9">
        <v>62</v>
      </c>
      <c r="G909" s="9">
        <v>733</v>
      </c>
      <c r="H909" s="5" t="s">
        <v>20</v>
      </c>
      <c r="I909" s="5" t="s">
        <v>2303</v>
      </c>
      <c r="J909" s="12" t="str">
        <f>HYPERLINK("https://www.boe.es/gazeta/dias/1807/07/17/pdfs/GMD-1807-62.pdf#page=7","Abrir facsímil")</f>
        <v>Abrir facsímil</v>
      </c>
      <c r="K909" s="15" t="s">
        <v>22</v>
      </c>
    </row>
    <row r="910" spans="1:11" ht="42" customHeight="1">
      <c r="A910" s="4" t="s">
        <v>2304</v>
      </c>
      <c r="B910" s="5" t="s">
        <v>2305</v>
      </c>
      <c r="C910" s="5" t="s">
        <v>34</v>
      </c>
      <c r="D910" s="5" t="s">
        <v>35</v>
      </c>
      <c r="E910" s="5" t="s">
        <v>595</v>
      </c>
      <c r="F910" s="9">
        <v>59</v>
      </c>
      <c r="G910" s="9">
        <v>701</v>
      </c>
      <c r="H910" s="5" t="s">
        <v>20</v>
      </c>
      <c r="I910" s="5" t="s">
        <v>2306</v>
      </c>
      <c r="J910" s="12" t="str">
        <f>HYPERLINK("https://www.boe.es/gazeta/dias/1807/07/10/pdfs/GMD-1807-59.pdf#page=7","Abrir facsímil")</f>
        <v>Abrir facsímil</v>
      </c>
      <c r="K910" s="15" t="s">
        <v>22</v>
      </c>
    </row>
    <row r="911" spans="1:11" ht="42" customHeight="1">
      <c r="A911" s="4" t="s">
        <v>2307</v>
      </c>
      <c r="B911" s="5" t="s">
        <v>2308</v>
      </c>
      <c r="C911" s="5" t="s">
        <v>24</v>
      </c>
      <c r="D911" s="5" t="s">
        <v>18</v>
      </c>
      <c r="E911" s="5" t="s">
        <v>309</v>
      </c>
      <c r="F911" s="9">
        <v>107</v>
      </c>
      <c r="G911" s="9">
        <v>1248</v>
      </c>
      <c r="H911" s="5" t="s">
        <v>20</v>
      </c>
      <c r="I911" s="5" t="s">
        <v>2309</v>
      </c>
      <c r="J911" s="12" t="str">
        <f>HYPERLINK("https://www.boe.es/gazeta/dias/1807/12/01/pdfs/GMD-1807-107.pdf#page=8","Abrir facsímil")</f>
        <v>Abrir facsímil</v>
      </c>
      <c r="K911" s="15" t="s">
        <v>22</v>
      </c>
    </row>
    <row r="912" spans="1:11" ht="42" customHeight="1">
      <c r="A912" s="4" t="s">
        <v>2310</v>
      </c>
      <c r="B912" s="5" t="s">
        <v>2311</v>
      </c>
      <c r="C912" s="5" t="s">
        <v>89</v>
      </c>
      <c r="D912" s="5" t="s">
        <v>90</v>
      </c>
      <c r="E912" s="5" t="s">
        <v>219</v>
      </c>
      <c r="F912" s="9">
        <v>56</v>
      </c>
      <c r="G912" s="9">
        <v>674</v>
      </c>
      <c r="H912" s="5" t="s">
        <v>20</v>
      </c>
      <c r="I912" s="5" t="s">
        <v>2312</v>
      </c>
      <c r="J912" s="12" t="str">
        <f>HYPERLINK("https://www.boe.es/gazeta/dias/1807/07/03/pdfs/GMD-1807-56.pdf#page=12","Abrir facsímil")</f>
        <v>Abrir facsímil</v>
      </c>
      <c r="K912" s="15" t="s">
        <v>22</v>
      </c>
    </row>
    <row r="913" spans="1:11" ht="42" customHeight="1">
      <c r="A913" s="4" t="s">
        <v>2313</v>
      </c>
      <c r="B913" s="5" t="s">
        <v>2314</v>
      </c>
      <c r="C913" s="5" t="s">
        <v>34</v>
      </c>
      <c r="D913" s="5" t="s">
        <v>35</v>
      </c>
      <c r="E913" s="5" t="s">
        <v>183</v>
      </c>
      <c r="F913" s="9">
        <v>1</v>
      </c>
      <c r="G913" s="9">
        <v>11</v>
      </c>
      <c r="H913" s="5" t="s">
        <v>20</v>
      </c>
      <c r="I913" s="5" t="s">
        <v>2315</v>
      </c>
      <c r="J913" s="12" t="str">
        <f>HYPERLINK("https://www.boe.es/gazeta/dias/1807/01/02/pdfs/GMD-1807-1.pdf#page=11","Abrir facsímil")</f>
        <v>Abrir facsímil</v>
      </c>
      <c r="K913" s="15" t="s">
        <v>22</v>
      </c>
    </row>
    <row r="914" spans="1:11" ht="42" customHeight="1">
      <c r="A914" s="4" t="s">
        <v>2316</v>
      </c>
      <c r="B914" s="5" t="s">
        <v>2317</v>
      </c>
      <c r="C914" s="5" t="s">
        <v>28</v>
      </c>
      <c r="D914" s="5" t="s">
        <v>29</v>
      </c>
      <c r="E914" s="5" t="s">
        <v>186</v>
      </c>
      <c r="F914" s="9">
        <v>72</v>
      </c>
      <c r="G914" s="9">
        <v>828</v>
      </c>
      <c r="H914" s="5" t="s">
        <v>20</v>
      </c>
      <c r="I914" s="5" t="s">
        <v>2318</v>
      </c>
      <c r="J914" s="12" t="str">
        <f>HYPERLINK("https://www.boe.es/gazeta/dias/1807/08/11/pdfs/GMD-1807-72.pdf#page=8","Abrir facsímil")</f>
        <v>Abrir facsímil</v>
      </c>
      <c r="K914" s="15" t="s">
        <v>22</v>
      </c>
    </row>
    <row r="915" spans="1:11" ht="42" customHeight="1">
      <c r="A915" s="4" t="s">
        <v>2319</v>
      </c>
      <c r="B915" s="5" t="s">
        <v>2320</v>
      </c>
      <c r="C915" s="5" t="s">
        <v>17</v>
      </c>
      <c r="D915" s="5" t="s">
        <v>18</v>
      </c>
      <c r="E915" s="5" t="s">
        <v>305</v>
      </c>
      <c r="F915" s="9">
        <v>53</v>
      </c>
      <c r="G915" s="9">
        <v>637</v>
      </c>
      <c r="H915" s="5" t="s">
        <v>20</v>
      </c>
      <c r="I915" s="5" t="s">
        <v>2321</v>
      </c>
      <c r="J915" s="12" t="str">
        <f>HYPERLINK("https://www.boe.es/gazeta/dias/1807/06/23/pdfs/GMD-1807-53.pdf#page=11","Abrir facsímil")</f>
        <v>Abrir facsímil</v>
      </c>
      <c r="K915" s="15" t="s">
        <v>22</v>
      </c>
    </row>
    <row r="916" spans="1:11" ht="42" customHeight="1">
      <c r="A916" s="4" t="s">
        <v>2322</v>
      </c>
      <c r="B916" s="5" t="s">
        <v>2323</v>
      </c>
      <c r="C916" s="5" t="s">
        <v>17</v>
      </c>
      <c r="D916" s="5" t="s">
        <v>18</v>
      </c>
      <c r="E916" s="5" t="s">
        <v>152</v>
      </c>
      <c r="F916" s="9">
        <v>61</v>
      </c>
      <c r="G916" s="9">
        <v>723</v>
      </c>
      <c r="H916" s="5" t="s">
        <v>20</v>
      </c>
      <c r="I916" s="5" t="s">
        <v>2324</v>
      </c>
      <c r="J916" s="12" t="str">
        <f>HYPERLINK("https://www.boe.es/gazeta/dias/1807/07/14/pdfs/GMD-1807-61.pdf#page=9","Abrir facsímil")</f>
        <v>Abrir facsímil</v>
      </c>
      <c r="K916" s="15" t="s">
        <v>22</v>
      </c>
    </row>
    <row r="917" spans="1:11" ht="42" customHeight="1">
      <c r="A917" s="4" t="s">
        <v>2325</v>
      </c>
      <c r="B917" s="5" t="s">
        <v>2326</v>
      </c>
      <c r="C917" s="5" t="s">
        <v>89</v>
      </c>
      <c r="D917" s="5" t="s">
        <v>90</v>
      </c>
      <c r="E917" s="5" t="s">
        <v>46</v>
      </c>
      <c r="F917" s="9">
        <v>78</v>
      </c>
      <c r="G917" s="9">
        <v>908</v>
      </c>
      <c r="H917" s="5" t="s">
        <v>20</v>
      </c>
      <c r="I917" s="5" t="s">
        <v>2327</v>
      </c>
      <c r="J917" s="12" t="str">
        <f>HYPERLINK("https://www.boe.es/gazeta/dias/1807/09/01/pdfs/GMD-1807-78.pdf#page=12","Abrir facsímil")</f>
        <v>Abrir facsímil</v>
      </c>
      <c r="K917" s="15" t="s">
        <v>22</v>
      </c>
    </row>
    <row r="918" spans="1:11" ht="42" customHeight="1">
      <c r="A918" s="4" t="s">
        <v>2328</v>
      </c>
      <c r="B918" s="5" t="s">
        <v>2329</v>
      </c>
      <c r="C918" s="5" t="s">
        <v>28</v>
      </c>
      <c r="D918" s="5" t="s">
        <v>29</v>
      </c>
      <c r="E918" s="5" t="s">
        <v>91</v>
      </c>
      <c r="F918" s="9">
        <v>109</v>
      </c>
      <c r="G918" s="9">
        <v>1274</v>
      </c>
      <c r="H918" s="5" t="s">
        <v>20</v>
      </c>
      <c r="I918" s="5" t="s">
        <v>2330</v>
      </c>
      <c r="J918" s="12" t="str">
        <f>HYPERLINK("https://www.boe.es/gazeta/dias/1807/12/08/pdfs/GMD-1807-109.pdf#page=10","Abrir facsímil")</f>
        <v>Abrir facsímil</v>
      </c>
      <c r="K918" s="15" t="s">
        <v>22</v>
      </c>
    </row>
    <row r="919" spans="1:11" ht="42" customHeight="1">
      <c r="A919" s="4" t="s">
        <v>2331</v>
      </c>
      <c r="B919" s="5" t="s">
        <v>2332</v>
      </c>
      <c r="C919" s="5" t="s">
        <v>17</v>
      </c>
      <c r="D919" s="5" t="s">
        <v>18</v>
      </c>
      <c r="E919" s="5" t="s">
        <v>275</v>
      </c>
      <c r="F919" s="9">
        <v>104</v>
      </c>
      <c r="G919" s="9">
        <v>1213</v>
      </c>
      <c r="H919" s="5" t="s">
        <v>20</v>
      </c>
      <c r="I919" s="5" t="s">
        <v>2333</v>
      </c>
      <c r="J919" s="12" t="str">
        <f>HYPERLINK("https://www.boe.es/gazeta/dias/1807/11/24/pdfs/GMD-1807-104.pdf#page=9","Abrir facsímil")</f>
        <v>Abrir facsímil</v>
      </c>
      <c r="K919" s="15" t="s">
        <v>22</v>
      </c>
    </row>
    <row r="920" spans="1:11" ht="42" customHeight="1">
      <c r="A920" s="4" t="s">
        <v>2334</v>
      </c>
      <c r="B920" s="5" t="s">
        <v>2335</v>
      </c>
      <c r="C920" s="5" t="s">
        <v>24</v>
      </c>
      <c r="D920" s="5" t="s">
        <v>18</v>
      </c>
      <c r="E920" s="5" t="s">
        <v>91</v>
      </c>
      <c r="F920" s="9">
        <v>109</v>
      </c>
      <c r="G920" s="9">
        <v>1274</v>
      </c>
      <c r="H920" s="5" t="s">
        <v>20</v>
      </c>
      <c r="I920" s="5" t="s">
        <v>2336</v>
      </c>
      <c r="J920" s="12" t="str">
        <f>HYPERLINK("https://www.boe.es/gazeta/dias/1807/12/08/pdfs/GMD-1807-109.pdf#page=10","Abrir facsímil")</f>
        <v>Abrir facsímil</v>
      </c>
      <c r="K920" s="15" t="s">
        <v>22</v>
      </c>
    </row>
    <row r="921" spans="1:11" ht="42" customHeight="1">
      <c r="A921" s="4" t="s">
        <v>2337</v>
      </c>
      <c r="B921" s="5" t="s">
        <v>2338</v>
      </c>
      <c r="C921" s="5" t="s">
        <v>34</v>
      </c>
      <c r="D921" s="5" t="s">
        <v>35</v>
      </c>
      <c r="E921" s="5" t="s">
        <v>83</v>
      </c>
      <c r="F921" s="9">
        <v>50</v>
      </c>
      <c r="G921" s="9">
        <v>595</v>
      </c>
      <c r="H921" s="5" t="s">
        <v>20</v>
      </c>
      <c r="I921" s="5" t="s">
        <v>2339</v>
      </c>
      <c r="J921" s="12" t="str">
        <f>HYPERLINK("https://www.boe.es/gazeta/dias/1807/06/12/pdfs/GMD-1807-50.pdf#page=9","Abrir facsímil")</f>
        <v>Abrir facsímil</v>
      </c>
      <c r="K921" s="15" t="s">
        <v>22</v>
      </c>
    </row>
    <row r="922" spans="1:11" ht="42" customHeight="1">
      <c r="A922" s="4" t="s">
        <v>2340</v>
      </c>
      <c r="B922" s="5" t="s">
        <v>2341</v>
      </c>
      <c r="C922" s="5" t="s">
        <v>252</v>
      </c>
      <c r="D922" s="5" t="s">
        <v>253</v>
      </c>
      <c r="E922" s="5" t="s">
        <v>314</v>
      </c>
      <c r="F922" s="9" t="s">
        <v>315</v>
      </c>
      <c r="G922" s="9">
        <v>1219</v>
      </c>
      <c r="H922" s="5" t="s">
        <v>20</v>
      </c>
      <c r="I922" s="5" t="s">
        <v>2342</v>
      </c>
      <c r="J922" s="12" t="str">
        <f>HYPERLINK("https://www.boe.es/gazeta/dias/1807/11/26/pdfs/GMD-1807-105E.pdf#page=3","Abrir facsímil")</f>
        <v>Abrir facsímil</v>
      </c>
      <c r="K922" s="15" t="s">
        <v>22</v>
      </c>
    </row>
    <row r="923" spans="1:11" ht="42" customHeight="1">
      <c r="A923" s="4" t="s">
        <v>2340</v>
      </c>
      <c r="B923" s="5" t="s">
        <v>2341</v>
      </c>
      <c r="C923" s="5" t="s">
        <v>252</v>
      </c>
      <c r="D923" s="5" t="s">
        <v>253</v>
      </c>
      <c r="E923" s="5" t="s">
        <v>314</v>
      </c>
      <c r="F923" s="9" t="s">
        <v>315</v>
      </c>
      <c r="G923" s="9">
        <v>1221</v>
      </c>
      <c r="H923" s="5" t="s">
        <v>20</v>
      </c>
      <c r="I923" s="5" t="s">
        <v>2343</v>
      </c>
      <c r="J923" s="12" t="str">
        <f>HYPERLINK("https://www.boe.es/gazeta/dias/1807/11/26/pdfs/GMD-1807-105E.pdf#page=5","Abrir facsímil")</f>
        <v>Abrir facsímil</v>
      </c>
      <c r="K923" s="15" t="s">
        <v>22</v>
      </c>
    </row>
    <row r="924" spans="1:11" ht="42" customHeight="1">
      <c r="A924" s="4" t="s">
        <v>2344</v>
      </c>
      <c r="B924" s="5" t="s">
        <v>2345</v>
      </c>
      <c r="C924" s="5" t="s">
        <v>34</v>
      </c>
      <c r="D924" s="5" t="s">
        <v>35</v>
      </c>
      <c r="E924" s="5" t="s">
        <v>104</v>
      </c>
      <c r="F924" s="9">
        <v>25</v>
      </c>
      <c r="G924" s="9">
        <v>301</v>
      </c>
      <c r="H924" s="5" t="s">
        <v>20</v>
      </c>
      <c r="I924" s="5" t="s">
        <v>2346</v>
      </c>
      <c r="J924" s="12" t="str">
        <f>HYPERLINK("https://www.boe.es/gazeta/dias/1807/03/17/pdfs/GMD-1807-25.pdf#page=9","Abrir facsímil")</f>
        <v>Abrir facsímil</v>
      </c>
      <c r="K924" s="15" t="s">
        <v>22</v>
      </c>
    </row>
    <row r="925" spans="1:11" ht="42" customHeight="1">
      <c r="A925" s="4" t="s">
        <v>2347</v>
      </c>
      <c r="B925" s="5" t="s">
        <v>2348</v>
      </c>
      <c r="C925" s="5" t="s">
        <v>34</v>
      </c>
      <c r="D925" s="5" t="s">
        <v>35</v>
      </c>
      <c r="E925" s="5" t="s">
        <v>106</v>
      </c>
      <c r="F925" s="9">
        <v>39</v>
      </c>
      <c r="G925" s="9">
        <v>465</v>
      </c>
      <c r="H925" s="5" t="s">
        <v>20</v>
      </c>
      <c r="I925" s="5" t="s">
        <v>2349</v>
      </c>
      <c r="J925" s="12" t="str">
        <f>HYPERLINK("https://www.boe.es/gazeta/dias/1807/05/05/pdfs/GMD-1807-39.pdf#page=7","Abrir facsímil")</f>
        <v>Abrir facsímil</v>
      </c>
      <c r="K925" s="15" t="s">
        <v>22</v>
      </c>
    </row>
    <row r="926" spans="1:11" ht="42" customHeight="1">
      <c r="A926" s="4" t="s">
        <v>2350</v>
      </c>
      <c r="B926" s="5" t="s">
        <v>2351</v>
      </c>
      <c r="C926" s="5" t="s">
        <v>89</v>
      </c>
      <c r="D926" s="5" t="s">
        <v>90</v>
      </c>
      <c r="E926" s="5" t="s">
        <v>305</v>
      </c>
      <c r="F926" s="9">
        <v>53</v>
      </c>
      <c r="G926" s="9">
        <v>638</v>
      </c>
      <c r="H926" s="5" t="s">
        <v>20</v>
      </c>
      <c r="I926" s="5" t="s">
        <v>2352</v>
      </c>
      <c r="J926" s="12" t="str">
        <f>HYPERLINK("https://www.boe.es/gazeta/dias/1807/06/23/pdfs/GMD-1807-53.pdf#page=12","Abrir facsímil")</f>
        <v>Abrir facsímil</v>
      </c>
      <c r="K926" s="15" t="s">
        <v>22</v>
      </c>
    </row>
    <row r="927" spans="1:11" ht="42" customHeight="1">
      <c r="A927" s="4" t="s">
        <v>2353</v>
      </c>
      <c r="B927" s="5" t="s">
        <v>2354</v>
      </c>
      <c r="C927" s="5" t="s">
        <v>34</v>
      </c>
      <c r="D927" s="5" t="s">
        <v>35</v>
      </c>
      <c r="E927" s="5" t="s">
        <v>65</v>
      </c>
      <c r="F927" s="9">
        <v>52</v>
      </c>
      <c r="G927" s="9">
        <v>622</v>
      </c>
      <c r="H927" s="5" t="s">
        <v>20</v>
      </c>
      <c r="I927" s="5" t="s">
        <v>2355</v>
      </c>
      <c r="J927" s="12" t="str">
        <f>HYPERLINK("https://www.boe.es/gazeta/dias/1807/06/19/pdfs/GMD-1807-52.pdf#page=12","Abrir facsímil")</f>
        <v>Abrir facsímil</v>
      </c>
      <c r="K927" s="15" t="s">
        <v>22</v>
      </c>
    </row>
    <row r="928" spans="1:11" ht="42" customHeight="1">
      <c r="A928" s="4" t="s">
        <v>2356</v>
      </c>
      <c r="B928" s="5" t="s">
        <v>2357</v>
      </c>
      <c r="C928" s="5" t="s">
        <v>24</v>
      </c>
      <c r="D928" s="5" t="s">
        <v>18</v>
      </c>
      <c r="E928" s="5" t="s">
        <v>507</v>
      </c>
      <c r="F928" s="9">
        <v>48</v>
      </c>
      <c r="G928" s="9">
        <v>570</v>
      </c>
      <c r="H928" s="5" t="s">
        <v>20</v>
      </c>
      <c r="I928" s="5" t="s">
        <v>2358</v>
      </c>
      <c r="J928" s="12" t="str">
        <f>HYPERLINK("https://www.boe.es/gazeta/dias/1807/06/05/pdfs/GMD-1807-48.pdf#page=8","Abrir facsímil")</f>
        <v>Abrir facsímil</v>
      </c>
      <c r="K928" s="15" t="s">
        <v>22</v>
      </c>
    </row>
    <row r="929" spans="1:11" ht="42" customHeight="1">
      <c r="A929" s="4" t="s">
        <v>2359</v>
      </c>
      <c r="B929" s="5" t="s">
        <v>2360</v>
      </c>
      <c r="C929" s="5" t="s">
        <v>89</v>
      </c>
      <c r="D929" s="5" t="s">
        <v>90</v>
      </c>
      <c r="E929" s="5" t="s">
        <v>65</v>
      </c>
      <c r="F929" s="9">
        <v>52</v>
      </c>
      <c r="G929" s="9">
        <v>625</v>
      </c>
      <c r="H929" s="5" t="s">
        <v>20</v>
      </c>
      <c r="I929" s="5" t="s">
        <v>2361</v>
      </c>
      <c r="J929" s="12" t="str">
        <f>HYPERLINK("https://www.boe.es/gazeta/dias/1807/06/19/pdfs/GMD-1807-52.pdf#page=15","Abrir facsímil")</f>
        <v>Abrir facsímil</v>
      </c>
      <c r="K929" s="15" t="s">
        <v>22</v>
      </c>
    </row>
    <row r="930" spans="1:11" ht="42" customHeight="1">
      <c r="A930" s="4" t="s">
        <v>2362</v>
      </c>
      <c r="B930" s="5" t="s">
        <v>2363</v>
      </c>
      <c r="C930" s="5" t="s">
        <v>89</v>
      </c>
      <c r="D930" s="5" t="s">
        <v>90</v>
      </c>
      <c r="E930" s="5" t="s">
        <v>51</v>
      </c>
      <c r="F930" s="9">
        <v>62</v>
      </c>
      <c r="G930" s="9">
        <v>734</v>
      </c>
      <c r="H930" s="5" t="s">
        <v>20</v>
      </c>
      <c r="I930" s="5" t="s">
        <v>2364</v>
      </c>
      <c r="J930" s="12" t="str">
        <f>HYPERLINK("https://www.boe.es/gazeta/dias/1807/07/17/pdfs/GMD-1807-62.pdf#page=8","Abrir facsímil")</f>
        <v>Abrir facsímil</v>
      </c>
      <c r="K930" s="15" t="s">
        <v>22</v>
      </c>
    </row>
    <row r="931" spans="1:11" ht="42" customHeight="1">
      <c r="A931" s="4" t="s">
        <v>2365</v>
      </c>
      <c r="B931" s="5" t="s">
        <v>2366</v>
      </c>
      <c r="C931" s="5" t="s">
        <v>89</v>
      </c>
      <c r="D931" s="5" t="s">
        <v>90</v>
      </c>
      <c r="E931" s="5" t="s">
        <v>426</v>
      </c>
      <c r="F931" s="9">
        <v>93</v>
      </c>
      <c r="G931" s="9">
        <v>1081</v>
      </c>
      <c r="H931" s="5" t="s">
        <v>20</v>
      </c>
      <c r="I931" s="5" t="s">
        <v>2367</v>
      </c>
      <c r="J931" s="12" t="str">
        <f>HYPERLINK("https://www.boe.es/gazeta/dias/1807/10/16/pdfs/GMD-1807-93.pdf#page=9","Abrir facsímil")</f>
        <v>Abrir facsímil</v>
      </c>
      <c r="K931" s="15" t="s">
        <v>22</v>
      </c>
    </row>
    <row r="932" spans="1:11" ht="42" customHeight="1">
      <c r="A932" s="4" t="s">
        <v>2368</v>
      </c>
      <c r="B932" s="5" t="s">
        <v>2369</v>
      </c>
      <c r="C932" s="5" t="s">
        <v>24</v>
      </c>
      <c r="D932" s="5" t="s">
        <v>18</v>
      </c>
      <c r="E932" s="5" t="s">
        <v>305</v>
      </c>
      <c r="F932" s="9">
        <v>53</v>
      </c>
      <c r="G932" s="9">
        <v>634</v>
      </c>
      <c r="H932" s="5" t="s">
        <v>20</v>
      </c>
      <c r="I932" s="5" t="s">
        <v>2370</v>
      </c>
      <c r="J932" s="12" t="str">
        <f>HYPERLINK("https://www.boe.es/gazeta/dias/1807/06/23/pdfs/GMD-1807-53.pdf#page=8","Abrir facsímil")</f>
        <v>Abrir facsímil</v>
      </c>
      <c r="K932" s="15" t="s">
        <v>22</v>
      </c>
    </row>
    <row r="933" spans="1:11" ht="42" customHeight="1">
      <c r="A933" s="4" t="s">
        <v>2371</v>
      </c>
      <c r="B933" s="5" t="s">
        <v>2372</v>
      </c>
      <c r="C933" s="5" t="s">
        <v>28</v>
      </c>
      <c r="D933" s="5" t="s">
        <v>29</v>
      </c>
      <c r="E933" s="5" t="s">
        <v>76</v>
      </c>
      <c r="F933" s="9">
        <v>7</v>
      </c>
      <c r="G933" s="9">
        <v>82</v>
      </c>
      <c r="H933" s="5" t="s">
        <v>20</v>
      </c>
      <c r="I933" s="5" t="s">
        <v>2373</v>
      </c>
      <c r="J933" s="12" t="str">
        <f>HYPERLINK("https://www.boe.es/gazeta/dias/1807/01/20/pdfs/GMD-1807-7.pdf#page=14","Abrir facsímil")</f>
        <v>Abrir facsímil</v>
      </c>
      <c r="K933" s="15" t="s">
        <v>22</v>
      </c>
    </row>
    <row r="934" spans="1:11" ht="42" customHeight="1">
      <c r="A934" s="4" t="s">
        <v>2374</v>
      </c>
      <c r="B934" s="5" t="s">
        <v>2375</v>
      </c>
      <c r="C934" s="5" t="s">
        <v>28</v>
      </c>
      <c r="D934" s="5" t="s">
        <v>29</v>
      </c>
      <c r="E934" s="5" t="s">
        <v>208</v>
      </c>
      <c r="F934" s="9">
        <v>42</v>
      </c>
      <c r="G934" s="9">
        <v>505</v>
      </c>
      <c r="H934" s="5" t="s">
        <v>20</v>
      </c>
      <c r="I934" s="5" t="s">
        <v>2376</v>
      </c>
      <c r="J934" s="12" t="str">
        <f>HYPERLINK("https://www.boe.es/gazeta/dias/1807/05/15/pdfs/GMD-1807-42.pdf#page=11","Abrir facsímil")</f>
        <v>Abrir facsímil</v>
      </c>
      <c r="K934" s="15" t="s">
        <v>22</v>
      </c>
    </row>
    <row r="935" spans="1:11" ht="42" customHeight="1">
      <c r="A935" s="4" t="s">
        <v>2374</v>
      </c>
      <c r="B935" s="5" t="s">
        <v>2375</v>
      </c>
      <c r="C935" s="5" t="s">
        <v>28</v>
      </c>
      <c r="D935" s="5" t="s">
        <v>29</v>
      </c>
      <c r="E935" s="5" t="s">
        <v>296</v>
      </c>
      <c r="F935" s="9">
        <v>102</v>
      </c>
      <c r="G935" s="9">
        <v>1190</v>
      </c>
      <c r="H935" s="5" t="s">
        <v>20</v>
      </c>
      <c r="I935" s="5" t="s">
        <v>2377</v>
      </c>
      <c r="J935" s="12" t="str">
        <f>HYPERLINK("https://www.boe.es/gazeta/dias/1807/11/17/pdfs/GMD-1807-102.pdf#page=10","Abrir facsímil")</f>
        <v>Abrir facsímil</v>
      </c>
      <c r="K935" s="15" t="s">
        <v>22</v>
      </c>
    </row>
    <row r="936" spans="1:11" ht="42" customHeight="1">
      <c r="A936" s="4" t="s">
        <v>2378</v>
      </c>
      <c r="B936" s="5" t="s">
        <v>2379</v>
      </c>
      <c r="C936" s="5" t="s">
        <v>24</v>
      </c>
      <c r="D936" s="5" t="s">
        <v>18</v>
      </c>
      <c r="E936" s="5" t="s">
        <v>471</v>
      </c>
      <c r="F936" s="9">
        <v>51</v>
      </c>
      <c r="G936" s="9">
        <v>609</v>
      </c>
      <c r="H936" s="5" t="s">
        <v>20</v>
      </c>
      <c r="I936" s="5" t="s">
        <v>2380</v>
      </c>
      <c r="J936" s="12" t="str">
        <f>HYPERLINK("https://www.boe.es/gazeta/dias/1807/06/16/pdfs/GMD-1807-51.pdf#page=11","Abrir facsímil")</f>
        <v>Abrir facsímil</v>
      </c>
      <c r="K936" s="15" t="s">
        <v>22</v>
      </c>
    </row>
    <row r="937" spans="1:11" ht="42" customHeight="1">
      <c r="A937" s="4" t="s">
        <v>2381</v>
      </c>
      <c r="B937" s="5" t="s">
        <v>2382</v>
      </c>
      <c r="C937" s="5" t="s">
        <v>2383</v>
      </c>
      <c r="D937" s="5" t="s">
        <v>2384</v>
      </c>
      <c r="E937" s="5" t="s">
        <v>215</v>
      </c>
      <c r="F937" s="9">
        <v>5</v>
      </c>
      <c r="G937" s="9">
        <v>58</v>
      </c>
      <c r="H937" s="5" t="s">
        <v>20</v>
      </c>
      <c r="I937" s="5" t="s">
        <v>2385</v>
      </c>
      <c r="J937" s="12" t="str">
        <f>HYPERLINK("https://www.boe.es/gazeta/dias/1807/01/16/pdfs/GMD-C-1807-5.pdf#page=2","Abrir facsímil")</f>
        <v>Abrir facsímil</v>
      </c>
      <c r="K937" s="15" t="s">
        <v>22</v>
      </c>
    </row>
    <row r="938" spans="1:11" ht="42" customHeight="1">
      <c r="A938" s="4" t="s">
        <v>2386</v>
      </c>
      <c r="B938" s="5" t="s">
        <v>2387</v>
      </c>
      <c r="C938" s="5" t="s">
        <v>17</v>
      </c>
      <c r="D938" s="5" t="s">
        <v>18</v>
      </c>
      <c r="E938" s="5" t="s">
        <v>19</v>
      </c>
      <c r="F938" s="9">
        <v>41</v>
      </c>
      <c r="G938" s="9">
        <v>489</v>
      </c>
      <c r="H938" s="5" t="s">
        <v>20</v>
      </c>
      <c r="I938" s="5" t="s">
        <v>2388</v>
      </c>
      <c r="J938" s="12" t="str">
        <f>HYPERLINK("https://www.boe.es/gazeta/dias/1807/05/12/pdfs/GMD-1807-41.pdf#page=7","Abrir facsímil")</f>
        <v>Abrir facsímil</v>
      </c>
      <c r="K938" s="15" t="s">
        <v>22</v>
      </c>
    </row>
    <row r="939" spans="1:11" ht="42" customHeight="1">
      <c r="A939" s="4" t="s">
        <v>2389</v>
      </c>
      <c r="B939" s="5" t="s">
        <v>2390</v>
      </c>
      <c r="C939" s="5" t="s">
        <v>34</v>
      </c>
      <c r="D939" s="5" t="s">
        <v>35</v>
      </c>
      <c r="E939" s="5" t="s">
        <v>135</v>
      </c>
      <c r="F939" s="9">
        <v>80</v>
      </c>
      <c r="G939" s="9">
        <v>933</v>
      </c>
      <c r="H939" s="5" t="s">
        <v>20</v>
      </c>
      <c r="I939" s="5" t="s">
        <v>2391</v>
      </c>
      <c r="J939" s="12" t="str">
        <f>HYPERLINK("https://www.boe.es/gazeta/dias/1807/09/08/pdfs/GMD-1807-80.pdf#page=9","Abrir facsímil")</f>
        <v>Abrir facsímil</v>
      </c>
      <c r="K939" s="15" t="s">
        <v>22</v>
      </c>
    </row>
    <row r="940" spans="1:11" ht="42" customHeight="1">
      <c r="A940" s="4" t="s">
        <v>2392</v>
      </c>
      <c r="B940" s="5" t="s">
        <v>2393</v>
      </c>
      <c r="C940" s="5" t="s">
        <v>34</v>
      </c>
      <c r="D940" s="5" t="s">
        <v>35</v>
      </c>
      <c r="E940" s="5" t="s">
        <v>361</v>
      </c>
      <c r="F940" s="9">
        <v>113</v>
      </c>
      <c r="G940" s="9">
        <v>1322</v>
      </c>
      <c r="H940" s="5" t="s">
        <v>20</v>
      </c>
      <c r="I940" s="5" t="s">
        <v>2394</v>
      </c>
      <c r="J940" s="12" t="str">
        <f>HYPERLINK("https://www.boe.es/gazeta/dias/1807/12/22/pdfs/GMD-1807-113.pdf#page=10","Abrir facsímil")</f>
        <v>Abrir facsímil</v>
      </c>
      <c r="K940" s="15" t="s">
        <v>22</v>
      </c>
    </row>
    <row r="941" spans="1:11" ht="42" customHeight="1">
      <c r="A941" s="4" t="s">
        <v>2395</v>
      </c>
      <c r="B941" s="5" t="s">
        <v>2396</v>
      </c>
      <c r="C941" s="5" t="s">
        <v>17</v>
      </c>
      <c r="D941" s="5" t="s">
        <v>18</v>
      </c>
      <c r="E941" s="5" t="s">
        <v>51</v>
      </c>
      <c r="F941" s="9">
        <v>62</v>
      </c>
      <c r="G941" s="9">
        <v>734</v>
      </c>
      <c r="H941" s="5" t="s">
        <v>20</v>
      </c>
      <c r="I941" s="5" t="s">
        <v>2397</v>
      </c>
      <c r="J941" s="12" t="str">
        <f>HYPERLINK("https://www.boe.es/gazeta/dias/1807/07/17/pdfs/GMD-1807-62.pdf#page=8","Abrir facsímil")</f>
        <v>Abrir facsímil</v>
      </c>
      <c r="K941" s="15" t="s">
        <v>22</v>
      </c>
    </row>
    <row r="942" spans="1:11" ht="42" customHeight="1">
      <c r="A942" s="4" t="s">
        <v>2398</v>
      </c>
      <c r="B942" s="5" t="s">
        <v>2399</v>
      </c>
      <c r="C942" s="5" t="s">
        <v>28</v>
      </c>
      <c r="D942" s="5" t="s">
        <v>29</v>
      </c>
      <c r="E942" s="5" t="s">
        <v>426</v>
      </c>
      <c r="F942" s="9">
        <v>93</v>
      </c>
      <c r="G942" s="9">
        <v>1083</v>
      </c>
      <c r="H942" s="5" t="s">
        <v>20</v>
      </c>
      <c r="I942" s="5" t="s">
        <v>2400</v>
      </c>
      <c r="J942" s="12" t="str">
        <f>HYPERLINK("https://www.boe.es/gazeta/dias/1807/10/16/pdfs/GMD-1807-93.pdf#page=11","Abrir facsímil")</f>
        <v>Abrir facsímil</v>
      </c>
      <c r="K942" s="15" t="s">
        <v>22</v>
      </c>
    </row>
    <row r="943" spans="1:11" ht="42" customHeight="1">
      <c r="A943" s="4" t="s">
        <v>2401</v>
      </c>
      <c r="B943" s="5" t="s">
        <v>2402</v>
      </c>
      <c r="C943" s="5" t="s">
        <v>28</v>
      </c>
      <c r="D943" s="5" t="s">
        <v>29</v>
      </c>
      <c r="E943" s="5" t="s">
        <v>152</v>
      </c>
      <c r="F943" s="9">
        <v>61</v>
      </c>
      <c r="G943" s="9">
        <v>723</v>
      </c>
      <c r="H943" s="5" t="s">
        <v>20</v>
      </c>
      <c r="I943" s="5" t="s">
        <v>2403</v>
      </c>
      <c r="J943" s="12" t="str">
        <f>HYPERLINK("https://www.boe.es/gazeta/dias/1807/07/14/pdfs/GMD-1807-61.pdf#page=9","Abrir facsímil")</f>
        <v>Abrir facsímil</v>
      </c>
      <c r="K943" s="15" t="s">
        <v>22</v>
      </c>
    </row>
    <row r="944" spans="1:11" ht="42" customHeight="1">
      <c r="A944" s="4" t="s">
        <v>2404</v>
      </c>
      <c r="B944" s="5" t="s">
        <v>2405</v>
      </c>
      <c r="C944" s="5" t="s">
        <v>28</v>
      </c>
      <c r="D944" s="5" t="s">
        <v>29</v>
      </c>
      <c r="E944" s="5" t="s">
        <v>390</v>
      </c>
      <c r="F944" s="9">
        <v>24</v>
      </c>
      <c r="G944" s="9">
        <v>286</v>
      </c>
      <c r="H944" s="5" t="s">
        <v>20</v>
      </c>
      <c r="I944" s="5" t="s">
        <v>2406</v>
      </c>
      <c r="J944" s="12" t="str">
        <f>HYPERLINK("https://www.boe.es/gazeta/dias/1807/03/13/pdfs/GMD-1807-24.pdf#page=10","Abrir facsímil")</f>
        <v>Abrir facsímil</v>
      </c>
      <c r="K944" s="15" t="s">
        <v>22</v>
      </c>
    </row>
    <row r="945" spans="1:11" ht="42" customHeight="1">
      <c r="A945" s="4" t="s">
        <v>2404</v>
      </c>
      <c r="B945" s="5" t="s">
        <v>2405</v>
      </c>
      <c r="C945" s="5" t="s">
        <v>28</v>
      </c>
      <c r="D945" s="5" t="s">
        <v>29</v>
      </c>
      <c r="E945" s="5" t="s">
        <v>71</v>
      </c>
      <c r="F945" s="9">
        <v>35</v>
      </c>
      <c r="G945" s="9">
        <v>415</v>
      </c>
      <c r="H945" s="5" t="s">
        <v>20</v>
      </c>
      <c r="I945" s="5" t="s">
        <v>2407</v>
      </c>
      <c r="J945" s="12" t="str">
        <f>HYPERLINK("https://www.boe.es/gazeta/dias/1807/04/21/pdfs/GMD-1807-35.pdf#page=7","Abrir facsímil")</f>
        <v>Abrir facsímil</v>
      </c>
      <c r="K945" s="15" t="s">
        <v>22</v>
      </c>
    </row>
    <row r="946" spans="1:11" ht="42" customHeight="1">
      <c r="A946" s="4" t="s">
        <v>2404</v>
      </c>
      <c r="B946" s="5" t="s">
        <v>2405</v>
      </c>
      <c r="C946" s="5" t="s">
        <v>28</v>
      </c>
      <c r="D946" s="5" t="s">
        <v>29</v>
      </c>
      <c r="E946" s="5" t="s">
        <v>305</v>
      </c>
      <c r="F946" s="9">
        <v>53</v>
      </c>
      <c r="G946" s="9">
        <v>636</v>
      </c>
      <c r="H946" s="5" t="s">
        <v>20</v>
      </c>
      <c r="I946" s="5" t="s">
        <v>2408</v>
      </c>
      <c r="J946" s="12" t="str">
        <f>HYPERLINK("https://www.boe.es/gazeta/dias/1807/06/23/pdfs/GMD-1807-53.pdf#page=10","Abrir facsímil")</f>
        <v>Abrir facsímil</v>
      </c>
      <c r="K946" s="15" t="s">
        <v>22</v>
      </c>
    </row>
    <row r="947" spans="1:11" ht="42" customHeight="1">
      <c r="A947" s="4" t="s">
        <v>2404</v>
      </c>
      <c r="B947" s="5" t="s">
        <v>2405</v>
      </c>
      <c r="C947" s="5" t="s">
        <v>28</v>
      </c>
      <c r="D947" s="5" t="s">
        <v>29</v>
      </c>
      <c r="E947" s="5" t="s">
        <v>654</v>
      </c>
      <c r="F947" s="9">
        <v>94</v>
      </c>
      <c r="G947" s="9">
        <v>1092</v>
      </c>
      <c r="H947" s="5" t="s">
        <v>20</v>
      </c>
      <c r="I947" s="5" t="s">
        <v>2409</v>
      </c>
      <c r="J947" s="12" t="str">
        <f>HYPERLINK("https://www.boe.es/gazeta/dias/1807/10/20/pdfs/GMD-1807-94.pdf#page=8","Abrir facsímil")</f>
        <v>Abrir facsímil</v>
      </c>
      <c r="K947" s="15" t="s">
        <v>22</v>
      </c>
    </row>
    <row r="948" spans="1:11" ht="42" customHeight="1">
      <c r="A948" s="4" t="s">
        <v>2410</v>
      </c>
      <c r="B948" s="5" t="s">
        <v>2411</v>
      </c>
      <c r="C948" s="5" t="s">
        <v>89</v>
      </c>
      <c r="D948" s="5" t="s">
        <v>90</v>
      </c>
      <c r="E948" s="5" t="s">
        <v>414</v>
      </c>
      <c r="F948" s="9">
        <v>40</v>
      </c>
      <c r="G948" s="9">
        <v>481</v>
      </c>
      <c r="H948" s="5" t="s">
        <v>20</v>
      </c>
      <c r="I948" s="5" t="s">
        <v>2412</v>
      </c>
      <c r="J948" s="12" t="str">
        <f>HYPERLINK("https://www.boe.es/gazeta/dias/1807/05/08/pdfs/GMD-1807-40.pdf#page=11","Abrir facsímil")</f>
        <v>Abrir facsímil</v>
      </c>
      <c r="K948" s="15" t="s">
        <v>22</v>
      </c>
    </row>
    <row r="949" spans="1:11" ht="42" customHeight="1">
      <c r="A949" s="4" t="s">
        <v>2413</v>
      </c>
      <c r="B949" s="5" t="s">
        <v>2414</v>
      </c>
      <c r="C949" s="5" t="s">
        <v>34</v>
      </c>
      <c r="D949" s="5" t="s">
        <v>35</v>
      </c>
      <c r="E949" s="5" t="s">
        <v>259</v>
      </c>
      <c r="F949" s="9">
        <v>3</v>
      </c>
      <c r="G949" s="9">
        <v>27</v>
      </c>
      <c r="H949" s="5" t="s">
        <v>20</v>
      </c>
      <c r="I949" s="5" t="s">
        <v>2415</v>
      </c>
      <c r="J949" s="12" t="str">
        <f>HYPERLINK("https://www.boe.es/gazeta/dias/1807/01/09/pdfs/GMD-1807-3.pdf#page=7","Abrir facsímil")</f>
        <v>Abrir facsímil</v>
      </c>
      <c r="K949" s="15" t="s">
        <v>22</v>
      </c>
    </row>
    <row r="950" spans="1:11" ht="42" customHeight="1">
      <c r="A950" s="4" t="s">
        <v>2416</v>
      </c>
      <c r="B950" s="5" t="s">
        <v>2417</v>
      </c>
      <c r="C950" s="5" t="s">
        <v>49</v>
      </c>
      <c r="D950" s="5" t="s">
        <v>50</v>
      </c>
      <c r="E950" s="5" t="s">
        <v>241</v>
      </c>
      <c r="F950" s="9">
        <v>76</v>
      </c>
      <c r="G950" s="9">
        <v>878</v>
      </c>
      <c r="H950" s="5" t="s">
        <v>20</v>
      </c>
      <c r="I950" s="5" t="s">
        <v>2418</v>
      </c>
      <c r="J950" s="12" t="str">
        <f>HYPERLINK("https://www.boe.es/gazeta/dias/1807/08/25/pdfs/GMD-1807-76.pdf#page=6","Abrir facsímil")</f>
        <v>Abrir facsímil</v>
      </c>
      <c r="K950" s="15" t="s">
        <v>22</v>
      </c>
    </row>
    <row r="951" spans="1:11" ht="42" customHeight="1">
      <c r="A951" s="4" t="s">
        <v>2419</v>
      </c>
      <c r="B951" s="5" t="s">
        <v>2420</v>
      </c>
      <c r="C951" s="5" t="s">
        <v>17</v>
      </c>
      <c r="D951" s="5" t="s">
        <v>18</v>
      </c>
      <c r="E951" s="5" t="s">
        <v>152</v>
      </c>
      <c r="F951" s="9">
        <v>61</v>
      </c>
      <c r="G951" s="9">
        <v>723</v>
      </c>
      <c r="H951" s="5" t="s">
        <v>20</v>
      </c>
      <c r="I951" s="5" t="s">
        <v>2421</v>
      </c>
      <c r="J951" s="12" t="str">
        <f>HYPERLINK("https://www.boe.es/gazeta/dias/1807/07/14/pdfs/GMD-1807-61.pdf#page=9","Abrir facsímil")</f>
        <v>Abrir facsímil</v>
      </c>
      <c r="K951" s="15" t="s">
        <v>22</v>
      </c>
    </row>
    <row r="952" spans="1:11" ht="42" customHeight="1">
      <c r="A952" s="4" t="s">
        <v>2422</v>
      </c>
      <c r="B952" s="5" t="s">
        <v>2423</v>
      </c>
      <c r="C952" s="5" t="s">
        <v>24</v>
      </c>
      <c r="D952" s="5" t="s">
        <v>18</v>
      </c>
      <c r="E952" s="5" t="s">
        <v>215</v>
      </c>
      <c r="F952" s="9">
        <v>5</v>
      </c>
      <c r="G952" s="9">
        <v>54</v>
      </c>
      <c r="H952" s="5" t="s">
        <v>20</v>
      </c>
      <c r="I952" s="5" t="s">
        <v>2424</v>
      </c>
      <c r="J952" s="12" t="str">
        <f>HYPERLINK("https://www.boe.es/gazeta/dias/1807/01/16/pdfs/GMD-1807-5.pdf#page=10","Abrir facsímil")</f>
        <v>Abrir facsímil</v>
      </c>
      <c r="K952" s="15" t="s">
        <v>22</v>
      </c>
    </row>
    <row r="953" spans="1:11" ht="42" customHeight="1">
      <c r="A953" s="4" t="s">
        <v>2425</v>
      </c>
      <c r="B953" s="5" t="s">
        <v>2426</v>
      </c>
      <c r="C953" s="5" t="s">
        <v>17</v>
      </c>
      <c r="D953" s="5" t="s">
        <v>18</v>
      </c>
      <c r="E953" s="5" t="s">
        <v>152</v>
      </c>
      <c r="F953" s="9">
        <v>61</v>
      </c>
      <c r="G953" s="9">
        <v>723</v>
      </c>
      <c r="H953" s="5" t="s">
        <v>20</v>
      </c>
      <c r="I953" s="5" t="s">
        <v>2427</v>
      </c>
      <c r="J953" s="12" t="str">
        <f>HYPERLINK("https://www.boe.es/gazeta/dias/1807/07/14/pdfs/GMD-1807-61.pdf#page=9","Abrir facsímil")</f>
        <v>Abrir facsímil</v>
      </c>
      <c r="K953" s="15" t="s">
        <v>22</v>
      </c>
    </row>
    <row r="954" spans="1:11" ht="42" customHeight="1">
      <c r="A954" s="4" t="s">
        <v>2428</v>
      </c>
      <c r="B954" s="5" t="s">
        <v>2429</v>
      </c>
      <c r="C954" s="5" t="s">
        <v>34</v>
      </c>
      <c r="D954" s="5" t="s">
        <v>35</v>
      </c>
      <c r="E954" s="5" t="s">
        <v>595</v>
      </c>
      <c r="F954" s="9">
        <v>59</v>
      </c>
      <c r="G954" s="9">
        <v>703</v>
      </c>
      <c r="H954" s="5" t="s">
        <v>20</v>
      </c>
      <c r="I954" s="5" t="s">
        <v>2430</v>
      </c>
      <c r="J954" s="12" t="str">
        <f>HYPERLINK("https://www.boe.es/gazeta/dias/1807/07/10/pdfs/GMD-1807-59.pdf#page=9","Abrir facsímil")</f>
        <v>Abrir facsímil</v>
      </c>
      <c r="K954" s="15" t="s">
        <v>22</v>
      </c>
    </row>
    <row r="955" spans="1:11" ht="42" customHeight="1">
      <c r="A955" s="4" t="s">
        <v>2431</v>
      </c>
      <c r="B955" s="5" t="s">
        <v>2432</v>
      </c>
      <c r="C955" s="5" t="s">
        <v>89</v>
      </c>
      <c r="D955" s="5" t="s">
        <v>90</v>
      </c>
      <c r="E955" s="5" t="s">
        <v>384</v>
      </c>
      <c r="F955" s="9">
        <v>111</v>
      </c>
      <c r="G955" s="9">
        <v>1300</v>
      </c>
      <c r="H955" s="5" t="s">
        <v>20</v>
      </c>
      <c r="I955" s="5" t="s">
        <v>2433</v>
      </c>
      <c r="J955" s="12" t="str">
        <f>HYPERLINK("https://www.boe.es/gazeta/dias/1807/12/15/pdfs/GMD-1807-111.pdf#page=12","Abrir facsímil")</f>
        <v>Abrir facsímil</v>
      </c>
      <c r="K955" s="15" t="s">
        <v>22</v>
      </c>
    </row>
    <row r="956" spans="1:11" ht="42" customHeight="1">
      <c r="A956" s="4" t="s">
        <v>2434</v>
      </c>
      <c r="B956" s="5" t="s">
        <v>2435</v>
      </c>
      <c r="C956" s="5" t="s">
        <v>28</v>
      </c>
      <c r="D956" s="5" t="s">
        <v>29</v>
      </c>
      <c r="E956" s="5" t="s">
        <v>111</v>
      </c>
      <c r="F956" s="9">
        <v>90</v>
      </c>
      <c r="G956" s="9">
        <v>1043</v>
      </c>
      <c r="H956" s="5" t="s">
        <v>20</v>
      </c>
      <c r="I956" s="5" t="s">
        <v>2436</v>
      </c>
      <c r="J956" s="12" t="str">
        <f>HYPERLINK("https://www.boe.es/gazeta/dias/1807/10/06/pdfs/GMD-1807-90.pdf#page=11","Abrir facsímil")</f>
        <v>Abrir facsímil</v>
      </c>
      <c r="K956" s="15" t="s">
        <v>22</v>
      </c>
    </row>
    <row r="957" spans="1:11" ht="42" customHeight="1">
      <c r="A957" s="4" t="s">
        <v>2437</v>
      </c>
      <c r="B957" s="5" t="s">
        <v>2438</v>
      </c>
      <c r="C957" s="5" t="s">
        <v>89</v>
      </c>
      <c r="D957" s="5" t="s">
        <v>90</v>
      </c>
      <c r="E957" s="5" t="s">
        <v>109</v>
      </c>
      <c r="F957" s="9">
        <v>58</v>
      </c>
      <c r="G957" s="9">
        <v>692</v>
      </c>
      <c r="H957" s="5" t="s">
        <v>20</v>
      </c>
      <c r="I957" s="5" t="s">
        <v>2439</v>
      </c>
      <c r="J957" s="12" t="str">
        <f>HYPERLINK("https://www.boe.es/gazeta/dias/1807/07/07/pdfs/GMD-1807-58.pdf#page=10","Abrir facsímil")</f>
        <v>Abrir facsímil</v>
      </c>
      <c r="K957" s="15" t="s">
        <v>22</v>
      </c>
    </row>
    <row r="958" spans="1:11" ht="42" customHeight="1">
      <c r="A958" s="4" t="s">
        <v>2440</v>
      </c>
      <c r="B958" s="5" t="s">
        <v>2441</v>
      </c>
      <c r="C958" s="5" t="s">
        <v>17</v>
      </c>
      <c r="D958" s="5" t="s">
        <v>18</v>
      </c>
      <c r="E958" s="5" t="s">
        <v>123</v>
      </c>
      <c r="F958" s="9">
        <v>70</v>
      </c>
      <c r="G958" s="9">
        <v>806</v>
      </c>
      <c r="H958" s="5" t="s">
        <v>20</v>
      </c>
      <c r="I958" s="5" t="s">
        <v>2442</v>
      </c>
      <c r="J958" s="12" t="str">
        <f>HYPERLINK("https://www.boe.es/gazeta/dias/1807/08/04/pdfs/GMD-1807-70.pdf#page=10","Abrir facsímil")</f>
        <v>Abrir facsímil</v>
      </c>
      <c r="K958" s="15" t="s">
        <v>22</v>
      </c>
    </row>
    <row r="959" spans="1:11" ht="42" customHeight="1">
      <c r="A959" s="4" t="s">
        <v>2443</v>
      </c>
      <c r="B959" s="5" t="s">
        <v>2444</v>
      </c>
      <c r="C959" s="5" t="s">
        <v>24</v>
      </c>
      <c r="D959" s="5" t="s">
        <v>18</v>
      </c>
      <c r="E959" s="5" t="s">
        <v>301</v>
      </c>
      <c r="F959" s="9">
        <v>89</v>
      </c>
      <c r="G959" s="9">
        <v>1031</v>
      </c>
      <c r="H959" s="5" t="s">
        <v>20</v>
      </c>
      <c r="I959" s="5" t="s">
        <v>2445</v>
      </c>
      <c r="J959" s="12" t="str">
        <f>HYPERLINK("https://www.boe.es/gazeta/dias/1807/10/02/pdfs/GMD-1807-89.pdf#page=11","Abrir facsímil")</f>
        <v>Abrir facsímil</v>
      </c>
      <c r="K959" s="15" t="s">
        <v>22</v>
      </c>
    </row>
    <row r="960" spans="1:11" ht="42" customHeight="1">
      <c r="A960" s="4" t="s">
        <v>2446</v>
      </c>
      <c r="B960" s="5" t="s">
        <v>2447</v>
      </c>
      <c r="C960" s="5" t="s">
        <v>49</v>
      </c>
      <c r="D960" s="5" t="s">
        <v>50</v>
      </c>
      <c r="E960" s="5" t="s">
        <v>270</v>
      </c>
      <c r="F960" s="9">
        <v>8</v>
      </c>
      <c r="G960" s="9">
        <v>88</v>
      </c>
      <c r="H960" s="5" t="s">
        <v>20</v>
      </c>
      <c r="I960" s="5" t="s">
        <v>2448</v>
      </c>
      <c r="J960" s="12" t="str">
        <f>HYPERLINK("https://www.boe.es/gazeta/dias/1807/01/23/pdfs/GMD-1807-8.pdf#page=4","Abrir facsímil")</f>
        <v>Abrir facsímil</v>
      </c>
      <c r="K960" s="15" t="s">
        <v>22</v>
      </c>
    </row>
    <row r="961" spans="1:11" ht="42" customHeight="1">
      <c r="A961" s="4" t="s">
        <v>2449</v>
      </c>
      <c r="B961" s="5" t="s">
        <v>2450</v>
      </c>
      <c r="C961" s="5" t="s">
        <v>28</v>
      </c>
      <c r="D961" s="5" t="s">
        <v>29</v>
      </c>
      <c r="E961" s="5" t="s">
        <v>152</v>
      </c>
      <c r="F961" s="9">
        <v>61</v>
      </c>
      <c r="G961" s="9">
        <v>720</v>
      </c>
      <c r="H961" s="5" t="s">
        <v>20</v>
      </c>
      <c r="I961" s="5" t="s">
        <v>2451</v>
      </c>
      <c r="J961" s="12" t="str">
        <f>HYPERLINK("https://www.boe.es/gazeta/dias/1807/07/14/pdfs/GMD-1807-61.pdf#page=6","Abrir facsímil")</f>
        <v>Abrir facsímil</v>
      </c>
      <c r="K961" s="15" t="s">
        <v>22</v>
      </c>
    </row>
    <row r="962" spans="1:11" ht="42" customHeight="1">
      <c r="A962" s="4" t="s">
        <v>2452</v>
      </c>
      <c r="B962" s="5" t="s">
        <v>2453</v>
      </c>
      <c r="C962" s="5" t="s">
        <v>17</v>
      </c>
      <c r="D962" s="5" t="s">
        <v>18</v>
      </c>
      <c r="E962" s="5" t="s">
        <v>156</v>
      </c>
      <c r="F962" s="9">
        <v>74</v>
      </c>
      <c r="G962" s="9">
        <v>857</v>
      </c>
      <c r="H962" s="5" t="s">
        <v>20</v>
      </c>
      <c r="I962" s="5" t="s">
        <v>2454</v>
      </c>
      <c r="J962" s="12" t="str">
        <f>HYPERLINK("https://www.boe.es/gazeta/dias/1807/08/18/pdfs/GMD-1807-74.pdf#page=9","Abrir facsímil")</f>
        <v>Abrir facsímil</v>
      </c>
      <c r="K962" s="15" t="s">
        <v>22</v>
      </c>
    </row>
    <row r="963" spans="1:11" ht="42" customHeight="1">
      <c r="A963" s="4" t="s">
        <v>2455</v>
      </c>
      <c r="B963" s="5" t="s">
        <v>2456</v>
      </c>
      <c r="C963" s="5" t="s">
        <v>17</v>
      </c>
      <c r="D963" s="5" t="s">
        <v>18</v>
      </c>
      <c r="E963" s="5" t="s">
        <v>793</v>
      </c>
      <c r="F963" s="9">
        <v>87</v>
      </c>
      <c r="G963" s="9">
        <v>1012</v>
      </c>
      <c r="H963" s="5" t="s">
        <v>20</v>
      </c>
      <c r="I963" s="5" t="s">
        <v>2457</v>
      </c>
      <c r="J963" s="12" t="str">
        <f>HYPERLINK("https://www.boe.es/gazeta/dias/1807/09/29/pdfs/GMD-1807-87.pdf#page=12","Abrir facsímil")</f>
        <v>Abrir facsímil</v>
      </c>
      <c r="K963" s="15" t="s">
        <v>22</v>
      </c>
    </row>
    <row r="964" spans="1:11" ht="42" customHeight="1">
      <c r="A964" s="4" t="s">
        <v>2458</v>
      </c>
      <c r="B964" s="5" t="s">
        <v>2459</v>
      </c>
      <c r="C964" s="5" t="s">
        <v>89</v>
      </c>
      <c r="D964" s="5" t="s">
        <v>90</v>
      </c>
      <c r="E964" s="5" t="s">
        <v>1456</v>
      </c>
      <c r="F964" s="9">
        <v>98</v>
      </c>
      <c r="G964" s="9">
        <v>1144</v>
      </c>
      <c r="H964" s="5" t="s">
        <v>20</v>
      </c>
      <c r="I964" s="5" t="s">
        <v>2460</v>
      </c>
      <c r="J964" s="12" t="str">
        <f>HYPERLINK("https://www.boe.es/gazeta/dias/1807/11/03/pdfs/GMD-1807-98.pdf#page=12","Abrir facsímil")</f>
        <v>Abrir facsímil</v>
      </c>
      <c r="K964" s="15" t="s">
        <v>22</v>
      </c>
    </row>
    <row r="965" spans="1:11" ht="42" customHeight="1">
      <c r="A965" s="4" t="s">
        <v>2461</v>
      </c>
      <c r="B965" s="5" t="s">
        <v>2462</v>
      </c>
      <c r="C965" s="5" t="s">
        <v>34</v>
      </c>
      <c r="D965" s="5" t="s">
        <v>35</v>
      </c>
      <c r="E965" s="5" t="s">
        <v>319</v>
      </c>
      <c r="F965" s="9">
        <v>54</v>
      </c>
      <c r="G965" s="9">
        <v>645</v>
      </c>
      <c r="H965" s="5" t="s">
        <v>20</v>
      </c>
      <c r="I965" s="5" t="s">
        <v>2463</v>
      </c>
      <c r="J965" s="12" t="str">
        <f>HYPERLINK("https://www.boe.es/gazeta/dias/1807/06/26/pdfs/GMD-1807-54.pdf#page=7","Abrir facsímil")</f>
        <v>Abrir facsímil</v>
      </c>
      <c r="K965" s="15" t="s">
        <v>22</v>
      </c>
    </row>
    <row r="966" spans="1:11" ht="42" customHeight="1">
      <c r="A966" s="4" t="s">
        <v>2464</v>
      </c>
      <c r="B966" s="5" t="s">
        <v>2465</v>
      </c>
      <c r="C966" s="5" t="s">
        <v>34</v>
      </c>
      <c r="D966" s="5" t="s">
        <v>35</v>
      </c>
      <c r="E966" s="5" t="s">
        <v>321</v>
      </c>
      <c r="F966" s="9">
        <v>75</v>
      </c>
      <c r="G966" s="9">
        <v>867</v>
      </c>
      <c r="H966" s="5" t="s">
        <v>20</v>
      </c>
      <c r="I966" s="5" t="s">
        <v>2466</v>
      </c>
      <c r="J966" s="12" t="str">
        <f>HYPERLINK("https://www.boe.es/gazeta/dias/1807/08/21/pdfs/GMD-1807-75.pdf#page=7","Abrir facsímil")</f>
        <v>Abrir facsímil</v>
      </c>
      <c r="K966" s="15" t="s">
        <v>22</v>
      </c>
    </row>
    <row r="967" spans="1:11" ht="42" customHeight="1">
      <c r="A967" s="4" t="s">
        <v>2467</v>
      </c>
      <c r="B967" s="5" t="s">
        <v>2468</v>
      </c>
      <c r="C967" s="5" t="s">
        <v>34</v>
      </c>
      <c r="D967" s="5" t="s">
        <v>35</v>
      </c>
      <c r="E967" s="5" t="s">
        <v>219</v>
      </c>
      <c r="F967" s="9">
        <v>56</v>
      </c>
      <c r="G967" s="9">
        <v>673</v>
      </c>
      <c r="H967" s="5" t="s">
        <v>20</v>
      </c>
      <c r="I967" s="5" t="s">
        <v>2469</v>
      </c>
      <c r="J967" s="12" t="str">
        <f>HYPERLINK("https://www.boe.es/gazeta/dias/1807/07/03/pdfs/GMD-1807-56.pdf#page=11","Abrir facsímil")</f>
        <v>Abrir facsímil</v>
      </c>
      <c r="K967" s="15" t="s">
        <v>22</v>
      </c>
    </row>
    <row r="968" spans="1:11" ht="42" customHeight="1">
      <c r="A968" s="4" t="s">
        <v>2470</v>
      </c>
      <c r="B968" s="5" t="s">
        <v>2471</v>
      </c>
      <c r="C968" s="5" t="s">
        <v>28</v>
      </c>
      <c r="D968" s="5" t="s">
        <v>29</v>
      </c>
      <c r="E968" s="5" t="s">
        <v>101</v>
      </c>
      <c r="F968" s="9">
        <v>23</v>
      </c>
      <c r="G968" s="9">
        <v>271</v>
      </c>
      <c r="H968" s="5" t="s">
        <v>20</v>
      </c>
      <c r="I968" s="5" t="s">
        <v>2472</v>
      </c>
      <c r="J968" s="12" t="str">
        <f>HYPERLINK("https://www.boe.es/gazeta/dias/1807/03/10/pdfs/GMD-1807-23.pdf#page=11","Abrir facsímil")</f>
        <v>Abrir facsímil</v>
      </c>
      <c r="K968" s="15" t="s">
        <v>22</v>
      </c>
    </row>
    <row r="969" spans="1:11" ht="42" customHeight="1">
      <c r="A969" s="4" t="s">
        <v>2473</v>
      </c>
      <c r="B969" s="5" t="s">
        <v>2474</v>
      </c>
      <c r="C969" s="5" t="s">
        <v>89</v>
      </c>
      <c r="D969" s="5" t="s">
        <v>90</v>
      </c>
      <c r="E969" s="5" t="s">
        <v>149</v>
      </c>
      <c r="F969" s="9">
        <v>38</v>
      </c>
      <c r="G969" s="9">
        <v>455</v>
      </c>
      <c r="H969" s="5" t="s">
        <v>20</v>
      </c>
      <c r="I969" s="5" t="s">
        <v>2475</v>
      </c>
      <c r="J969" s="12" t="str">
        <f>HYPERLINK("https://www.boe.es/gazeta/dias/1807/05/01/pdfs/GMD-1807-38.pdf#page=11","Abrir facsímil")</f>
        <v>Abrir facsímil</v>
      </c>
      <c r="K969" s="15" t="s">
        <v>22</v>
      </c>
    </row>
    <row r="970" spans="1:11" ht="42" customHeight="1">
      <c r="A970" s="4" t="s">
        <v>2476</v>
      </c>
      <c r="B970" s="5" t="s">
        <v>2477</v>
      </c>
      <c r="C970" s="5" t="s">
        <v>28</v>
      </c>
      <c r="D970" s="5" t="s">
        <v>29</v>
      </c>
      <c r="E970" s="5" t="s">
        <v>498</v>
      </c>
      <c r="F970" s="9">
        <v>32</v>
      </c>
      <c r="G970" s="9">
        <v>383</v>
      </c>
      <c r="H970" s="5" t="s">
        <v>20</v>
      </c>
      <c r="I970" s="5" t="s">
        <v>2478</v>
      </c>
      <c r="J970" s="12" t="str">
        <f>HYPERLINK("https://www.boe.es/gazeta/dias/1807/04/10/pdfs/GMD-1807-32.pdf#page=11","Abrir facsímil")</f>
        <v>Abrir facsímil</v>
      </c>
      <c r="K970" s="15" t="s">
        <v>22</v>
      </c>
    </row>
    <row r="971" spans="1:11" ht="42" customHeight="1">
      <c r="A971" s="4" t="s">
        <v>2479</v>
      </c>
      <c r="B971" s="5" t="s">
        <v>2480</v>
      </c>
      <c r="C971" s="5" t="s">
        <v>28</v>
      </c>
      <c r="D971" s="5" t="s">
        <v>29</v>
      </c>
      <c r="E971" s="5" t="s">
        <v>51</v>
      </c>
      <c r="F971" s="9">
        <v>62</v>
      </c>
      <c r="G971" s="9">
        <v>732</v>
      </c>
      <c r="H971" s="5" t="s">
        <v>20</v>
      </c>
      <c r="I971" s="5" t="s">
        <v>2481</v>
      </c>
      <c r="J971" s="12" t="str">
        <f>HYPERLINK("https://www.boe.es/gazeta/dias/1807/07/17/pdfs/GMD-1807-62.pdf#page=6","Abrir facsímil")</f>
        <v>Abrir facsímil</v>
      </c>
      <c r="K971" s="15" t="s">
        <v>22</v>
      </c>
    </row>
    <row r="972" spans="1:11" ht="42" customHeight="1">
      <c r="A972" s="4" t="s">
        <v>2482</v>
      </c>
      <c r="B972" s="5" t="s">
        <v>2483</v>
      </c>
      <c r="C972" s="5" t="s">
        <v>17</v>
      </c>
      <c r="D972" s="5" t="s">
        <v>18</v>
      </c>
      <c r="E972" s="5" t="s">
        <v>530</v>
      </c>
      <c r="F972" s="9">
        <v>79</v>
      </c>
      <c r="G972" s="9">
        <v>918</v>
      </c>
      <c r="H972" s="5" t="s">
        <v>20</v>
      </c>
      <c r="I972" s="5" t="s">
        <v>2484</v>
      </c>
      <c r="J972" s="12" t="str">
        <f>HYPERLINK("https://www.boe.es/gazeta/dias/1807/09/04/pdfs/GMD-1807-79.pdf#page=10","Abrir facsímil")</f>
        <v>Abrir facsímil</v>
      </c>
      <c r="K972" s="15" t="s">
        <v>22</v>
      </c>
    </row>
    <row r="973" spans="1:11" ht="42" customHeight="1">
      <c r="A973" s="4" t="s">
        <v>2485</v>
      </c>
      <c r="B973" s="5" t="s">
        <v>2486</v>
      </c>
      <c r="C973" s="5" t="s">
        <v>24</v>
      </c>
      <c r="D973" s="5" t="s">
        <v>18</v>
      </c>
      <c r="E973" s="5" t="s">
        <v>327</v>
      </c>
      <c r="F973" s="9">
        <v>108</v>
      </c>
      <c r="G973" s="9">
        <v>1262</v>
      </c>
      <c r="H973" s="5" t="s">
        <v>20</v>
      </c>
      <c r="I973" s="5" t="s">
        <v>2487</v>
      </c>
      <c r="J973" s="12" t="str">
        <f>HYPERLINK("https://www.boe.es/gazeta/dias/1807/12/04/pdfs/GMD-1807-108.pdf#page=10","Abrir facsímil")</f>
        <v>Abrir facsímil</v>
      </c>
      <c r="K973" s="15" t="s">
        <v>22</v>
      </c>
    </row>
    <row r="974" spans="1:11" ht="42" customHeight="1">
      <c r="A974" s="4" t="s">
        <v>2488</v>
      </c>
      <c r="B974" s="5" t="s">
        <v>2489</v>
      </c>
      <c r="C974" s="5" t="s">
        <v>28</v>
      </c>
      <c r="D974" s="5" t="s">
        <v>29</v>
      </c>
      <c r="E974" s="5" t="s">
        <v>98</v>
      </c>
      <c r="F974" s="9">
        <v>34</v>
      </c>
      <c r="G974" s="9">
        <v>408</v>
      </c>
      <c r="H974" s="5" t="s">
        <v>20</v>
      </c>
      <c r="I974" s="5" t="s">
        <v>2490</v>
      </c>
      <c r="J974" s="12" t="str">
        <f>HYPERLINK("https://www.boe.es/gazeta/dias/1807/04/17/pdfs/GMD-1807-34.pdf#page=12","Abrir facsímil")</f>
        <v>Abrir facsímil</v>
      </c>
      <c r="K974" s="15" t="s">
        <v>22</v>
      </c>
    </row>
    <row r="975" spans="1:11" ht="42" customHeight="1">
      <c r="A975" s="4" t="s">
        <v>2491</v>
      </c>
      <c r="B975" s="5" t="s">
        <v>2492</v>
      </c>
      <c r="C975" s="5" t="s">
        <v>34</v>
      </c>
      <c r="D975" s="5" t="s">
        <v>35</v>
      </c>
      <c r="E975" s="5" t="s">
        <v>393</v>
      </c>
      <c r="F975" s="9">
        <v>15</v>
      </c>
      <c r="G975" s="9">
        <v>172</v>
      </c>
      <c r="H975" s="5" t="s">
        <v>20</v>
      </c>
      <c r="I975" s="5" t="s">
        <v>2493</v>
      </c>
      <c r="J975" s="12" t="str">
        <f>HYPERLINK("https://www.boe.es/gazeta/dias/1807/02/13/pdfs/GMD-1807-15.pdf#page=8","Abrir facsímil")</f>
        <v>Abrir facsímil</v>
      </c>
      <c r="K975" s="15" t="s">
        <v>22</v>
      </c>
    </row>
    <row r="976" spans="1:11" ht="42" customHeight="1">
      <c r="A976" s="4" t="s">
        <v>2494</v>
      </c>
      <c r="B976" s="5" t="s">
        <v>2495</v>
      </c>
      <c r="C976" s="5" t="s">
        <v>17</v>
      </c>
      <c r="D976" s="5" t="s">
        <v>18</v>
      </c>
      <c r="E976" s="5" t="s">
        <v>190</v>
      </c>
      <c r="F976" s="9">
        <v>37</v>
      </c>
      <c r="G976" s="9">
        <v>440</v>
      </c>
      <c r="H976" s="5" t="s">
        <v>20</v>
      </c>
      <c r="I976" s="5" t="s">
        <v>2496</v>
      </c>
      <c r="J976" s="12" t="str">
        <f>HYPERLINK("https://www.boe.es/gazeta/dias/1807/04/28/pdfs/GMD-1807-37.pdf#page=8","Abrir facsímil")</f>
        <v>Abrir facsímil</v>
      </c>
      <c r="K976" s="15" t="s">
        <v>22</v>
      </c>
    </row>
    <row r="977" spans="1:11" ht="42" customHeight="1">
      <c r="A977" s="4" t="s">
        <v>2497</v>
      </c>
      <c r="B977" s="5" t="s">
        <v>2498</v>
      </c>
      <c r="C977" s="5" t="s">
        <v>89</v>
      </c>
      <c r="D977" s="5" t="s">
        <v>90</v>
      </c>
      <c r="E977" s="5" t="s">
        <v>94</v>
      </c>
      <c r="F977" s="9">
        <v>22</v>
      </c>
      <c r="G977" s="9">
        <v>260</v>
      </c>
      <c r="H977" s="5" t="s">
        <v>20</v>
      </c>
      <c r="I977" s="5" t="s">
        <v>2499</v>
      </c>
      <c r="J977" s="12" t="str">
        <f>HYPERLINK("https://www.boe.es/gazeta/dias/1807/03/06/pdfs/GMD-1807-22.pdf#page=12","Abrir facsímil")</f>
        <v>Abrir facsímil</v>
      </c>
      <c r="K977" s="15" t="s">
        <v>22</v>
      </c>
    </row>
    <row r="978" spans="1:11" ht="42" customHeight="1">
      <c r="A978" s="4" t="s">
        <v>2500</v>
      </c>
      <c r="B978" s="5" t="s">
        <v>2501</v>
      </c>
      <c r="C978" s="5" t="s">
        <v>34</v>
      </c>
      <c r="D978" s="5" t="s">
        <v>35</v>
      </c>
      <c r="E978" s="5" t="s">
        <v>76</v>
      </c>
      <c r="F978" s="9">
        <v>7</v>
      </c>
      <c r="G978" s="9">
        <v>74</v>
      </c>
      <c r="H978" s="5" t="s">
        <v>20</v>
      </c>
      <c r="I978" s="5" t="s">
        <v>2502</v>
      </c>
      <c r="J978" s="12" t="str">
        <f>HYPERLINK("https://www.boe.es/gazeta/dias/1807/01/20/pdfs/GMD-1807-7.pdf#page=6","Abrir facsímil")</f>
        <v>Abrir facsímil</v>
      </c>
      <c r="K978" s="15" t="s">
        <v>22</v>
      </c>
    </row>
    <row r="979" spans="1:11" ht="42" customHeight="1">
      <c r="A979" s="4" t="s">
        <v>2503</v>
      </c>
      <c r="B979" s="5" t="s">
        <v>2504</v>
      </c>
      <c r="C979" s="5" t="s">
        <v>28</v>
      </c>
      <c r="D979" s="5" t="s">
        <v>29</v>
      </c>
      <c r="E979" s="5" t="s">
        <v>152</v>
      </c>
      <c r="F979" s="9">
        <v>61</v>
      </c>
      <c r="G979" s="9">
        <v>720</v>
      </c>
      <c r="H979" s="5" t="s">
        <v>20</v>
      </c>
      <c r="I979" s="5" t="s">
        <v>2505</v>
      </c>
      <c r="J979" s="12" t="str">
        <f>HYPERLINK("https://www.boe.es/gazeta/dias/1807/07/14/pdfs/GMD-1807-61.pdf#page=6","Abrir facsímil")</f>
        <v>Abrir facsímil</v>
      </c>
      <c r="K979" s="15" t="s">
        <v>22</v>
      </c>
    </row>
    <row r="980" spans="1:11" ht="42" customHeight="1">
      <c r="A980" s="4" t="s">
        <v>2506</v>
      </c>
      <c r="B980" s="5" t="s">
        <v>2507</v>
      </c>
      <c r="C980" s="5" t="s">
        <v>28</v>
      </c>
      <c r="D980" s="5" t="s">
        <v>29</v>
      </c>
      <c r="E980" s="5" t="s">
        <v>346</v>
      </c>
      <c r="F980" s="9">
        <v>21</v>
      </c>
      <c r="G980" s="9">
        <v>246</v>
      </c>
      <c r="H980" s="5" t="s">
        <v>20</v>
      </c>
      <c r="I980" s="5" t="s">
        <v>2508</v>
      </c>
      <c r="J980" s="12" t="str">
        <f>HYPERLINK("https://www.boe.es/gazeta/dias/1807/03/03/pdfs/GMD-1807-21.pdf#page=10","Abrir facsímil")</f>
        <v>Abrir facsímil</v>
      </c>
      <c r="K980" s="15" t="s">
        <v>22</v>
      </c>
    </row>
    <row r="981" spans="1:11" ht="42" customHeight="1">
      <c r="A981" s="4" t="s">
        <v>2509</v>
      </c>
      <c r="B981" s="5" t="s">
        <v>2510</v>
      </c>
      <c r="C981" s="5" t="s">
        <v>17</v>
      </c>
      <c r="D981" s="5" t="s">
        <v>18</v>
      </c>
      <c r="E981" s="5" t="s">
        <v>620</v>
      </c>
      <c r="F981" s="9">
        <v>84</v>
      </c>
      <c r="G981" s="9">
        <v>981</v>
      </c>
      <c r="H981" s="5" t="s">
        <v>20</v>
      </c>
      <c r="I981" s="5" t="s">
        <v>2511</v>
      </c>
      <c r="J981" s="12" t="str">
        <f>HYPERLINK("https://www.boe.es/gazeta/dias/1807/09/22/pdfs/GMD-1807-84.pdf#page=9","Abrir facsímil")</f>
        <v>Abrir facsímil</v>
      </c>
      <c r="K981" s="15" t="s">
        <v>22</v>
      </c>
    </row>
    <row r="982" spans="1:11" ht="42" customHeight="1">
      <c r="A982" s="4" t="s">
        <v>2512</v>
      </c>
      <c r="B982" s="5" t="s">
        <v>2513</v>
      </c>
      <c r="C982" s="5" t="s">
        <v>28</v>
      </c>
      <c r="D982" s="5" t="s">
        <v>29</v>
      </c>
      <c r="E982" s="5" t="s">
        <v>1076</v>
      </c>
      <c r="F982" s="9">
        <v>96</v>
      </c>
      <c r="G982" s="9">
        <v>1120</v>
      </c>
      <c r="H982" s="5" t="s">
        <v>20</v>
      </c>
      <c r="I982" s="5" t="s">
        <v>2514</v>
      </c>
      <c r="J982" s="12" t="str">
        <f>HYPERLINK("https://www.boe.es/gazeta/dias/1807/10/27/pdfs/GMD-1807-96.pdf#page=12","Abrir facsímil")</f>
        <v>Abrir facsímil</v>
      </c>
      <c r="K982" s="15" t="s">
        <v>22</v>
      </c>
    </row>
    <row r="983" spans="1:11" ht="42" customHeight="1">
      <c r="A983" s="4" t="s">
        <v>2512</v>
      </c>
      <c r="B983" s="5" t="s">
        <v>2513</v>
      </c>
      <c r="C983" s="5" t="s">
        <v>34</v>
      </c>
      <c r="D983" s="5" t="s">
        <v>35</v>
      </c>
      <c r="E983" s="5" t="s">
        <v>1456</v>
      </c>
      <c r="F983" s="9">
        <v>98</v>
      </c>
      <c r="G983" s="9">
        <v>1141</v>
      </c>
      <c r="H983" s="5" t="s">
        <v>20</v>
      </c>
      <c r="I983" s="5" t="s">
        <v>2515</v>
      </c>
      <c r="J983" s="12" t="str">
        <f>HYPERLINK("https://www.boe.es/gazeta/dias/1807/11/03/pdfs/GMD-1807-98.pdf#page=9","Abrir facsímil")</f>
        <v>Abrir facsímil</v>
      </c>
      <c r="K983" s="15" t="s">
        <v>22</v>
      </c>
    </row>
    <row r="984" spans="1:11" ht="42" customHeight="1">
      <c r="A984" s="4" t="s">
        <v>2516</v>
      </c>
      <c r="B984" s="5" t="s">
        <v>2517</v>
      </c>
      <c r="C984" s="5" t="s">
        <v>34</v>
      </c>
      <c r="D984" s="5" t="s">
        <v>35</v>
      </c>
      <c r="E984" s="5" t="s">
        <v>30</v>
      </c>
      <c r="F984" s="9">
        <v>13</v>
      </c>
      <c r="G984" s="9">
        <v>149</v>
      </c>
      <c r="H984" s="5" t="s">
        <v>20</v>
      </c>
      <c r="I984" s="5" t="s">
        <v>2518</v>
      </c>
      <c r="J984" s="12" t="str">
        <f>HYPERLINK("https://www.boe.es/gazeta/dias/1807/02/06/pdfs/GMD-1807-13.pdf#page=9","Abrir facsímil")</f>
        <v>Abrir facsímil</v>
      </c>
      <c r="K984" s="15" t="s">
        <v>22</v>
      </c>
    </row>
    <row r="985" spans="1:11" ht="42" customHeight="1">
      <c r="A985" s="4" t="s">
        <v>2519</v>
      </c>
      <c r="B985" s="5" t="s">
        <v>2520</v>
      </c>
      <c r="C985" s="5" t="s">
        <v>34</v>
      </c>
      <c r="D985" s="5" t="s">
        <v>35</v>
      </c>
      <c r="E985" s="5" t="s">
        <v>478</v>
      </c>
      <c r="F985" s="9">
        <v>30</v>
      </c>
      <c r="G985" s="9">
        <v>358</v>
      </c>
      <c r="H985" s="5" t="s">
        <v>20</v>
      </c>
      <c r="I985" s="5" t="s">
        <v>2521</v>
      </c>
      <c r="J985" s="12" t="str">
        <f>HYPERLINK("https://www.boe.es/gazeta/dias/1807/04/03/pdfs/GMD-1807-30.pdf#page=10","Abrir facsímil")</f>
        <v>Abrir facsímil</v>
      </c>
      <c r="K985" s="15" t="s">
        <v>22</v>
      </c>
    </row>
    <row r="986" spans="1:11" ht="42" customHeight="1">
      <c r="A986" s="4" t="s">
        <v>2522</v>
      </c>
      <c r="B986" s="5" t="s">
        <v>2523</v>
      </c>
      <c r="C986" s="5" t="s">
        <v>28</v>
      </c>
      <c r="D986" s="5" t="s">
        <v>29</v>
      </c>
      <c r="E986" s="5" t="s">
        <v>221</v>
      </c>
      <c r="F986" s="9">
        <v>73</v>
      </c>
      <c r="G986" s="9">
        <v>845</v>
      </c>
      <c r="H986" s="5" t="s">
        <v>20</v>
      </c>
      <c r="I986" s="5" t="s">
        <v>2524</v>
      </c>
      <c r="J986" s="12" t="str">
        <f>HYPERLINK("https://www.boe.es/gazeta/dias/1807/08/14/pdfs/GMD-1807-73.pdf#page=9","Abrir facsímil")</f>
        <v>Abrir facsímil</v>
      </c>
      <c r="K986" s="15" t="s">
        <v>22</v>
      </c>
    </row>
    <row r="987" spans="1:11" ht="42" customHeight="1">
      <c r="A987" s="4" t="s">
        <v>2522</v>
      </c>
      <c r="B987" s="5" t="s">
        <v>2523</v>
      </c>
      <c r="C987" s="5" t="s">
        <v>34</v>
      </c>
      <c r="D987" s="5" t="s">
        <v>35</v>
      </c>
      <c r="E987" s="5" t="s">
        <v>156</v>
      </c>
      <c r="F987" s="9">
        <v>74</v>
      </c>
      <c r="G987" s="9">
        <v>855</v>
      </c>
      <c r="H987" s="5" t="s">
        <v>20</v>
      </c>
      <c r="I987" s="5" t="s">
        <v>2525</v>
      </c>
      <c r="J987" s="12" t="str">
        <f>HYPERLINK("https://www.boe.es/gazeta/dias/1807/08/18/pdfs/GMD-1807-74.pdf#page=7","Abrir facsímil")</f>
        <v>Abrir facsímil</v>
      </c>
      <c r="K987" s="15" t="s">
        <v>22</v>
      </c>
    </row>
    <row r="988" spans="1:11" ht="42" customHeight="1">
      <c r="A988" s="4" t="s">
        <v>2526</v>
      </c>
      <c r="B988" s="5" t="s">
        <v>2527</v>
      </c>
      <c r="C988" s="5" t="s">
        <v>34</v>
      </c>
      <c r="D988" s="5" t="s">
        <v>35</v>
      </c>
      <c r="E988" s="5" t="s">
        <v>376</v>
      </c>
      <c r="F988" s="9">
        <v>19</v>
      </c>
      <c r="G988" s="9">
        <v>228</v>
      </c>
      <c r="H988" s="5" t="s">
        <v>20</v>
      </c>
      <c r="I988" s="5" t="s">
        <v>2528</v>
      </c>
      <c r="J988" s="12" t="str">
        <f>HYPERLINK("https://www.boe.es/gazeta/dias/1807/02/27/pdfs/GMD-1807-19.pdf#page=12","Abrir facsímil")</f>
        <v>Abrir facsímil</v>
      </c>
      <c r="K988" s="15" t="s">
        <v>22</v>
      </c>
    </row>
    <row r="989" spans="1:11" ht="42" customHeight="1">
      <c r="A989" s="4" t="s">
        <v>2529</v>
      </c>
      <c r="B989" s="5" t="s">
        <v>2530</v>
      </c>
      <c r="C989" s="5" t="s">
        <v>34</v>
      </c>
      <c r="D989" s="5" t="s">
        <v>35</v>
      </c>
      <c r="E989" s="5" t="s">
        <v>139</v>
      </c>
      <c r="F989" s="9">
        <v>110</v>
      </c>
      <c r="G989" s="9">
        <v>1286</v>
      </c>
      <c r="H989" s="5" t="s">
        <v>20</v>
      </c>
      <c r="I989" s="5" t="s">
        <v>2531</v>
      </c>
      <c r="J989" s="12" t="str">
        <f>HYPERLINK("https://www.boe.es/gazeta/dias/1807/12/11/pdfs/GMD-1807-110.pdf#page=10","Abrir facsímil")</f>
        <v>Abrir facsímil</v>
      </c>
      <c r="K989" s="15" t="s">
        <v>22</v>
      </c>
    </row>
    <row r="990" spans="1:11" ht="42" customHeight="1">
      <c r="A990" s="4" t="s">
        <v>2532</v>
      </c>
      <c r="B990" s="5" t="s">
        <v>2533</v>
      </c>
      <c r="C990" s="5" t="s">
        <v>34</v>
      </c>
      <c r="D990" s="5" t="s">
        <v>35</v>
      </c>
      <c r="E990" s="5" t="s">
        <v>65</v>
      </c>
      <c r="F990" s="9">
        <v>52</v>
      </c>
      <c r="G990" s="9">
        <v>621</v>
      </c>
      <c r="H990" s="5" t="s">
        <v>20</v>
      </c>
      <c r="I990" s="5" t="s">
        <v>2534</v>
      </c>
      <c r="J990" s="12" t="str">
        <f>HYPERLINK("https://www.boe.es/gazeta/dias/1807/06/19/pdfs/GMD-1807-52.pdf#page=11","Abrir facsímil")</f>
        <v>Abrir facsímil</v>
      </c>
      <c r="K990" s="15" t="s">
        <v>22</v>
      </c>
    </row>
    <row r="991" spans="1:11" ht="42" customHeight="1">
      <c r="A991" s="4" t="s">
        <v>2535</v>
      </c>
      <c r="B991" s="5" t="s">
        <v>2536</v>
      </c>
      <c r="C991" s="5" t="s">
        <v>34</v>
      </c>
      <c r="D991" s="5" t="s">
        <v>35</v>
      </c>
      <c r="E991" s="5" t="s">
        <v>507</v>
      </c>
      <c r="F991" s="9">
        <v>48</v>
      </c>
      <c r="G991" s="9">
        <v>574</v>
      </c>
      <c r="H991" s="5" t="s">
        <v>20</v>
      </c>
      <c r="I991" s="5" t="s">
        <v>2537</v>
      </c>
      <c r="J991" s="12" t="str">
        <f>HYPERLINK("https://www.boe.es/gazeta/dias/1807/06/05/pdfs/GMD-1807-48.pdf#page=12","Abrir facsímil")</f>
        <v>Abrir facsímil</v>
      </c>
      <c r="K991" s="15" t="s">
        <v>22</v>
      </c>
    </row>
    <row r="992" spans="1:11" ht="42" customHeight="1">
      <c r="A992" s="4" t="s">
        <v>2538</v>
      </c>
      <c r="B992" s="5" t="s">
        <v>2539</v>
      </c>
      <c r="C992" s="5" t="s">
        <v>28</v>
      </c>
      <c r="D992" s="5" t="s">
        <v>29</v>
      </c>
      <c r="E992" s="5" t="s">
        <v>221</v>
      </c>
      <c r="F992" s="9">
        <v>73</v>
      </c>
      <c r="G992" s="9">
        <v>844</v>
      </c>
      <c r="H992" s="5" t="s">
        <v>20</v>
      </c>
      <c r="I992" s="5" t="s">
        <v>2540</v>
      </c>
      <c r="J992" s="12" t="str">
        <f>HYPERLINK("https://www.boe.es/gazeta/dias/1807/08/14/pdfs/GMD-1807-73.pdf#page=8","Abrir facsímil")</f>
        <v>Abrir facsímil</v>
      </c>
      <c r="K992" s="15" t="s">
        <v>22</v>
      </c>
    </row>
    <row r="993" spans="1:11" ht="42" customHeight="1">
      <c r="A993" s="4" t="s">
        <v>2541</v>
      </c>
      <c r="B993" s="5" t="s">
        <v>2542</v>
      </c>
      <c r="C993" s="5" t="s">
        <v>89</v>
      </c>
      <c r="D993" s="5" t="s">
        <v>90</v>
      </c>
      <c r="E993" s="5" t="s">
        <v>36</v>
      </c>
      <c r="F993" s="9">
        <v>36</v>
      </c>
      <c r="G993" s="9">
        <v>432</v>
      </c>
      <c r="H993" s="5" t="s">
        <v>20</v>
      </c>
      <c r="I993" s="5" t="s">
        <v>2543</v>
      </c>
      <c r="J993" s="12" t="str">
        <f>HYPERLINK("https://www.boe.es/gazeta/dias/1807/04/24/pdfs/GMD-1807-36.pdf#page=12","Abrir facsímil")</f>
        <v>Abrir facsímil</v>
      </c>
      <c r="K993" s="15" t="s">
        <v>22</v>
      </c>
    </row>
    <row r="994" spans="1:11" ht="42" customHeight="1">
      <c r="A994" s="4" t="s">
        <v>2544</v>
      </c>
      <c r="B994" s="5" t="s">
        <v>2545</v>
      </c>
      <c r="C994" s="5" t="s">
        <v>34</v>
      </c>
      <c r="D994" s="5" t="s">
        <v>35</v>
      </c>
      <c r="E994" s="5" t="s">
        <v>25</v>
      </c>
      <c r="F994" s="9">
        <v>45</v>
      </c>
      <c r="G994" s="9">
        <v>537</v>
      </c>
      <c r="H994" s="5" t="s">
        <v>20</v>
      </c>
      <c r="I994" s="5" t="s">
        <v>2546</v>
      </c>
      <c r="J994" s="12" t="str">
        <f>HYPERLINK("https://www.boe.es/gazeta/dias/1807/05/26/pdfs/GMD-1807-45.pdf#page=7","Abrir facsímil")</f>
        <v>Abrir facsímil</v>
      </c>
      <c r="K994" s="15" t="s">
        <v>22</v>
      </c>
    </row>
    <row r="995" spans="1:11" ht="42" customHeight="1">
      <c r="A995" s="4" t="s">
        <v>2547</v>
      </c>
      <c r="B995" s="5" t="s">
        <v>2548</v>
      </c>
      <c r="C995" s="5" t="s">
        <v>34</v>
      </c>
      <c r="D995" s="5" t="s">
        <v>35</v>
      </c>
      <c r="E995" s="5" t="s">
        <v>282</v>
      </c>
      <c r="F995" s="9">
        <v>16</v>
      </c>
      <c r="G995" s="9">
        <v>185</v>
      </c>
      <c r="H995" s="5" t="s">
        <v>20</v>
      </c>
      <c r="I995" s="5" t="s">
        <v>2549</v>
      </c>
      <c r="J995" s="12" t="str">
        <f>HYPERLINK("https://www.boe.es/gazeta/dias/1807/02/17/pdfs/GMD-1807-16.pdf#page=9","Abrir facsímil")</f>
        <v>Abrir facsímil</v>
      </c>
      <c r="K995" s="15" t="s">
        <v>22</v>
      </c>
    </row>
    <row r="996" spans="1:11" ht="42" customHeight="1">
      <c r="A996" s="4" t="s">
        <v>2550</v>
      </c>
      <c r="B996" s="5" t="s">
        <v>2551</v>
      </c>
      <c r="C996" s="5" t="s">
        <v>28</v>
      </c>
      <c r="D996" s="5" t="s">
        <v>29</v>
      </c>
      <c r="E996" s="5" t="s">
        <v>390</v>
      </c>
      <c r="F996" s="9">
        <v>24</v>
      </c>
      <c r="G996" s="9">
        <v>287</v>
      </c>
      <c r="H996" s="5" t="s">
        <v>20</v>
      </c>
      <c r="I996" s="5" t="s">
        <v>2552</v>
      </c>
      <c r="J996" s="12" t="str">
        <f>HYPERLINK("https://www.boe.es/gazeta/dias/1807/03/13/pdfs/GMD-1807-24.pdf#page=11","Abrir facsímil")</f>
        <v>Abrir facsímil</v>
      </c>
      <c r="K996" s="15" t="s">
        <v>22</v>
      </c>
    </row>
    <row r="997" spans="1:11" ht="42" customHeight="1">
      <c r="A997" s="4" t="s">
        <v>2553</v>
      </c>
      <c r="B997" s="5" t="s">
        <v>2554</v>
      </c>
      <c r="C997" s="5" t="s">
        <v>34</v>
      </c>
      <c r="D997" s="5" t="s">
        <v>35</v>
      </c>
      <c r="E997" s="5" t="s">
        <v>498</v>
      </c>
      <c r="F997" s="9">
        <v>32</v>
      </c>
      <c r="G997" s="9">
        <v>380</v>
      </c>
      <c r="H997" s="5" t="s">
        <v>20</v>
      </c>
      <c r="I997" s="5" t="s">
        <v>2555</v>
      </c>
      <c r="J997" s="12" t="str">
        <f>HYPERLINK("https://www.boe.es/gazeta/dias/1807/04/10/pdfs/GMD-1807-32.pdf#page=8","Abrir facsímil")</f>
        <v>Abrir facsímil</v>
      </c>
      <c r="K997" s="15" t="s">
        <v>22</v>
      </c>
    </row>
    <row r="998" spans="1:11" ht="42" customHeight="1">
      <c r="A998" s="4" t="s">
        <v>2556</v>
      </c>
      <c r="B998" s="5" t="s">
        <v>2557</v>
      </c>
      <c r="C998" s="5" t="s">
        <v>34</v>
      </c>
      <c r="D998" s="5" t="s">
        <v>35</v>
      </c>
      <c r="E998" s="5" t="s">
        <v>296</v>
      </c>
      <c r="F998" s="9">
        <v>102</v>
      </c>
      <c r="G998" s="9">
        <v>1191</v>
      </c>
      <c r="H998" s="5" t="s">
        <v>20</v>
      </c>
      <c r="I998" s="5" t="s">
        <v>2558</v>
      </c>
      <c r="J998" s="12" t="str">
        <f>HYPERLINK("https://www.boe.es/gazeta/dias/1807/11/17/pdfs/GMD-1807-102.pdf#page=11","Abrir facsímil")</f>
        <v>Abrir facsímil</v>
      </c>
      <c r="K998" s="15" t="s">
        <v>22</v>
      </c>
    </row>
    <row r="999" spans="1:11" ht="42" customHeight="1">
      <c r="A999" s="4" t="s">
        <v>2559</v>
      </c>
      <c r="B999" s="5" t="s">
        <v>2560</v>
      </c>
      <c r="C999" s="5" t="s">
        <v>34</v>
      </c>
      <c r="D999" s="5" t="s">
        <v>35</v>
      </c>
      <c r="E999" s="5" t="s">
        <v>152</v>
      </c>
      <c r="F999" s="9">
        <v>61</v>
      </c>
      <c r="G999" s="9">
        <v>723</v>
      </c>
      <c r="H999" s="5" t="s">
        <v>20</v>
      </c>
      <c r="I999" s="5" t="s">
        <v>2561</v>
      </c>
      <c r="J999" s="12" t="str">
        <f>HYPERLINK("https://www.boe.es/gazeta/dias/1807/07/14/pdfs/GMD-1807-61.pdf#page=9","Abrir facsímil")</f>
        <v>Abrir facsímil</v>
      </c>
      <c r="K999" s="15" t="s">
        <v>22</v>
      </c>
    </row>
    <row r="1000" spans="1:11" ht="42" customHeight="1">
      <c r="A1000" s="4" t="s">
        <v>2562</v>
      </c>
      <c r="B1000" s="5" t="s">
        <v>2563</v>
      </c>
      <c r="C1000" s="5" t="s">
        <v>34</v>
      </c>
      <c r="D1000" s="5" t="s">
        <v>35</v>
      </c>
      <c r="E1000" s="5" t="s">
        <v>98</v>
      </c>
      <c r="F1000" s="9">
        <v>34</v>
      </c>
      <c r="G1000" s="9">
        <v>404</v>
      </c>
      <c r="H1000" s="5" t="s">
        <v>20</v>
      </c>
      <c r="I1000" s="5" t="s">
        <v>2564</v>
      </c>
      <c r="J1000" s="12" t="str">
        <f>HYPERLINK("https://www.boe.es/gazeta/dias/1807/04/17/pdfs/GMD-1807-34.pdf#page=8","Abrir facsímil")</f>
        <v>Abrir facsímil</v>
      </c>
      <c r="K1000" s="15" t="s">
        <v>22</v>
      </c>
    </row>
    <row r="1001" spans="1:11" ht="42" customHeight="1">
      <c r="A1001" s="4" t="s">
        <v>2565</v>
      </c>
      <c r="B1001" s="5" t="s">
        <v>2566</v>
      </c>
      <c r="C1001" s="5" t="s">
        <v>49</v>
      </c>
      <c r="D1001" s="5" t="s">
        <v>50</v>
      </c>
      <c r="E1001" s="5" t="s">
        <v>1934</v>
      </c>
      <c r="F1001" s="9">
        <v>2</v>
      </c>
      <c r="G1001" s="9">
        <v>16</v>
      </c>
      <c r="H1001" s="5" t="s">
        <v>20</v>
      </c>
      <c r="I1001" s="5" t="s">
        <v>2567</v>
      </c>
      <c r="J1001" s="12" t="str">
        <f>HYPERLINK("https://www.boe.es/gazeta/dias/1807/01/06/pdfs/GMD-1807-2.pdf#page=4","Abrir facsímil")</f>
        <v>Abrir facsímil</v>
      </c>
      <c r="K1001" s="15" t="s">
        <v>22</v>
      </c>
    </row>
    <row r="1002" spans="1:11" ht="42" customHeight="1">
      <c r="A1002" s="4" t="s">
        <v>2568</v>
      </c>
      <c r="B1002" s="5" t="s">
        <v>2569</v>
      </c>
      <c r="C1002" s="5" t="s">
        <v>28</v>
      </c>
      <c r="D1002" s="5" t="s">
        <v>29</v>
      </c>
      <c r="E1002" s="5" t="s">
        <v>19</v>
      </c>
      <c r="F1002" s="9">
        <v>41</v>
      </c>
      <c r="G1002" s="9">
        <v>491</v>
      </c>
      <c r="H1002" s="5" t="s">
        <v>20</v>
      </c>
      <c r="I1002" s="5" t="s">
        <v>2570</v>
      </c>
      <c r="J1002" s="12" t="str">
        <f>HYPERLINK("https://www.boe.es/gazeta/dias/1807/05/12/pdfs/GMD-1807-41.pdf#page=9","Abrir facsímil")</f>
        <v>Abrir facsímil</v>
      </c>
      <c r="K1002" s="15" t="s">
        <v>22</v>
      </c>
    </row>
    <row r="1003" spans="1:11" ht="42" customHeight="1">
      <c r="A1003" s="4" t="s">
        <v>2571</v>
      </c>
      <c r="B1003" s="5" t="s">
        <v>2572</v>
      </c>
      <c r="C1003" s="5" t="s">
        <v>34</v>
      </c>
      <c r="D1003" s="5" t="s">
        <v>35</v>
      </c>
      <c r="E1003" s="5" t="s">
        <v>190</v>
      </c>
      <c r="F1003" s="9">
        <v>37</v>
      </c>
      <c r="G1003" s="9">
        <v>440</v>
      </c>
      <c r="H1003" s="5" t="s">
        <v>20</v>
      </c>
      <c r="I1003" s="5" t="s">
        <v>2573</v>
      </c>
      <c r="J1003" s="12" t="str">
        <f>HYPERLINK("https://www.boe.es/gazeta/dias/1807/04/28/pdfs/GMD-1807-37.pdf#page=8","Abrir facsímil")</f>
        <v>Abrir facsímil</v>
      </c>
      <c r="K1003" s="15" t="s">
        <v>22</v>
      </c>
    </row>
    <row r="1004" spans="1:11" ht="42" customHeight="1">
      <c r="A1004" s="4" t="s">
        <v>2574</v>
      </c>
      <c r="B1004" s="5" t="s">
        <v>2575</v>
      </c>
      <c r="C1004" s="5" t="s">
        <v>34</v>
      </c>
      <c r="D1004" s="5" t="s">
        <v>35</v>
      </c>
      <c r="E1004" s="5" t="s">
        <v>305</v>
      </c>
      <c r="F1004" s="9">
        <v>53</v>
      </c>
      <c r="G1004" s="9">
        <v>634</v>
      </c>
      <c r="H1004" s="5" t="s">
        <v>20</v>
      </c>
      <c r="I1004" s="5" t="s">
        <v>2576</v>
      </c>
      <c r="J1004" s="12" t="str">
        <f>HYPERLINK("https://www.boe.es/gazeta/dias/1807/06/23/pdfs/GMD-1807-53.pdf#page=8","Abrir facsímil")</f>
        <v>Abrir facsímil</v>
      </c>
      <c r="K1004" s="15" t="s">
        <v>22</v>
      </c>
    </row>
    <row r="1005" spans="1:11" ht="42" customHeight="1">
      <c r="A1005" s="4" t="s">
        <v>2577</v>
      </c>
      <c r="B1005" s="5" t="s">
        <v>2578</v>
      </c>
      <c r="C1005" s="5" t="s">
        <v>28</v>
      </c>
      <c r="D1005" s="5" t="s">
        <v>29</v>
      </c>
      <c r="E1005" s="5" t="s">
        <v>91</v>
      </c>
      <c r="F1005" s="9">
        <v>109</v>
      </c>
      <c r="G1005" s="9">
        <v>1273</v>
      </c>
      <c r="H1005" s="5" t="s">
        <v>20</v>
      </c>
      <c r="I1005" s="5" t="s">
        <v>2579</v>
      </c>
      <c r="J1005" s="12" t="str">
        <f>HYPERLINK("https://www.boe.es/gazeta/dias/1807/12/08/pdfs/GMD-1807-109.pdf#page=9","Abrir facsímil")</f>
        <v>Abrir facsímil</v>
      </c>
      <c r="K1005" s="15" t="s">
        <v>22</v>
      </c>
    </row>
    <row r="1006" spans="1:11" ht="42" customHeight="1">
      <c r="A1006" s="4" t="s">
        <v>2580</v>
      </c>
      <c r="B1006" s="5" t="s">
        <v>2581</v>
      </c>
      <c r="C1006" s="5" t="s">
        <v>34</v>
      </c>
      <c r="D1006" s="5" t="s">
        <v>35</v>
      </c>
      <c r="E1006" s="5" t="s">
        <v>94</v>
      </c>
      <c r="F1006" s="9">
        <v>22</v>
      </c>
      <c r="G1006" s="9">
        <v>256</v>
      </c>
      <c r="H1006" s="5" t="s">
        <v>20</v>
      </c>
      <c r="I1006" s="5" t="s">
        <v>2582</v>
      </c>
      <c r="J1006" s="12" t="str">
        <f>HYPERLINK("https://www.boe.es/gazeta/dias/1807/03/06/pdfs/GMD-1807-22.pdf#page=8","Abrir facsímil")</f>
        <v>Abrir facsímil</v>
      </c>
      <c r="K1006" s="15" t="s">
        <v>22</v>
      </c>
    </row>
    <row r="1007" spans="1:11" ht="42" customHeight="1">
      <c r="A1007" s="4" t="s">
        <v>2583</v>
      </c>
      <c r="B1007" s="5" t="s">
        <v>2584</v>
      </c>
      <c r="C1007" s="5" t="s">
        <v>34</v>
      </c>
      <c r="D1007" s="5" t="s">
        <v>35</v>
      </c>
      <c r="E1007" s="5" t="s">
        <v>1354</v>
      </c>
      <c r="F1007" s="9">
        <v>83</v>
      </c>
      <c r="G1007" s="9">
        <v>969</v>
      </c>
      <c r="H1007" s="5" t="s">
        <v>20</v>
      </c>
      <c r="I1007" s="5" t="s">
        <v>2585</v>
      </c>
      <c r="J1007" s="12" t="str">
        <f>HYPERLINK("https://www.boe.es/gazeta/dias/1807/09/18/pdfs/GMD-1807-83.pdf#page=9","Abrir facsímil")</f>
        <v>Abrir facsímil</v>
      </c>
      <c r="K1007" s="15" t="s">
        <v>22</v>
      </c>
    </row>
    <row r="1008" spans="1:11" ht="42" customHeight="1">
      <c r="A1008" s="4" t="s">
        <v>2586</v>
      </c>
      <c r="B1008" s="5" t="s">
        <v>2587</v>
      </c>
      <c r="C1008" s="5" t="s">
        <v>34</v>
      </c>
      <c r="D1008" s="5" t="s">
        <v>35</v>
      </c>
      <c r="E1008" s="5" t="s">
        <v>567</v>
      </c>
      <c r="F1008" s="9">
        <v>55</v>
      </c>
      <c r="G1008" s="9">
        <v>659</v>
      </c>
      <c r="H1008" s="5" t="s">
        <v>20</v>
      </c>
      <c r="I1008" s="5" t="s">
        <v>2588</v>
      </c>
      <c r="J1008" s="12" t="str">
        <f>HYPERLINK("https://www.boe.es/gazeta/dias/1807/06/30/pdfs/GMD-1807-55.pdf#page=9","Abrir facsímil")</f>
        <v>Abrir facsímil</v>
      </c>
      <c r="K1008" s="15" t="s">
        <v>22</v>
      </c>
    </row>
    <row r="1009" spans="1:11" ht="42" customHeight="1">
      <c r="A1009" s="4" t="s">
        <v>2589</v>
      </c>
      <c r="B1009" s="5" t="s">
        <v>2590</v>
      </c>
      <c r="C1009" s="5" t="s">
        <v>24</v>
      </c>
      <c r="D1009" s="5" t="s">
        <v>18</v>
      </c>
      <c r="E1009" s="5" t="s">
        <v>507</v>
      </c>
      <c r="F1009" s="9">
        <v>48</v>
      </c>
      <c r="G1009" s="9">
        <v>570</v>
      </c>
      <c r="H1009" s="5" t="s">
        <v>20</v>
      </c>
      <c r="I1009" s="5" t="s">
        <v>2591</v>
      </c>
      <c r="J1009" s="12" t="str">
        <f>HYPERLINK("https://www.boe.es/gazeta/dias/1807/06/05/pdfs/GMD-1807-48.pdf#page=8","Abrir facsímil")</f>
        <v>Abrir facsímil</v>
      </c>
      <c r="K1009" s="15" t="s">
        <v>22</v>
      </c>
    </row>
    <row r="1010" spans="1:11" ht="42" customHeight="1">
      <c r="A1010" s="4" t="s">
        <v>2592</v>
      </c>
      <c r="B1010" s="5" t="s">
        <v>2593</v>
      </c>
      <c r="C1010" s="5" t="s">
        <v>34</v>
      </c>
      <c r="D1010" s="5" t="s">
        <v>35</v>
      </c>
      <c r="E1010" s="5" t="s">
        <v>62</v>
      </c>
      <c r="F1010" s="9">
        <v>68</v>
      </c>
      <c r="G1010" s="9">
        <v>783</v>
      </c>
      <c r="H1010" s="5" t="s">
        <v>20</v>
      </c>
      <c r="I1010" s="5" t="s">
        <v>2594</v>
      </c>
      <c r="J1010" s="12" t="str">
        <f>HYPERLINK("https://www.boe.es/gazeta/dias/1807/07/31/pdfs/GMD-1807-68.pdf#page=7","Abrir facsímil")</f>
        <v>Abrir facsímil</v>
      </c>
      <c r="K1010" s="15" t="s">
        <v>22</v>
      </c>
    </row>
    <row r="1011" spans="1:11" ht="42" customHeight="1">
      <c r="A1011" s="4" t="s">
        <v>2595</v>
      </c>
      <c r="B1011" s="5" t="s">
        <v>2596</v>
      </c>
      <c r="C1011" s="5" t="s">
        <v>34</v>
      </c>
      <c r="D1011" s="5" t="s">
        <v>35</v>
      </c>
      <c r="E1011" s="5" t="s">
        <v>319</v>
      </c>
      <c r="F1011" s="9">
        <v>54</v>
      </c>
      <c r="G1011" s="9">
        <v>645</v>
      </c>
      <c r="H1011" s="5" t="s">
        <v>20</v>
      </c>
      <c r="I1011" s="5" t="s">
        <v>2597</v>
      </c>
      <c r="J1011" s="12" t="str">
        <f>HYPERLINK("https://www.boe.es/gazeta/dias/1807/06/26/pdfs/GMD-1807-54.pdf#page=7","Abrir facsímil")</f>
        <v>Abrir facsímil</v>
      </c>
      <c r="K1011" s="15" t="s">
        <v>22</v>
      </c>
    </row>
    <row r="1012" spans="1:11" ht="42" customHeight="1">
      <c r="A1012" s="4" t="s">
        <v>2598</v>
      </c>
      <c r="B1012" s="5" t="s">
        <v>2599</v>
      </c>
      <c r="C1012" s="5" t="s">
        <v>24</v>
      </c>
      <c r="D1012" s="5" t="s">
        <v>18</v>
      </c>
      <c r="E1012" s="5" t="s">
        <v>215</v>
      </c>
      <c r="F1012" s="9">
        <v>5</v>
      </c>
      <c r="G1012" s="9">
        <v>54</v>
      </c>
      <c r="H1012" s="5" t="s">
        <v>20</v>
      </c>
      <c r="I1012" s="5" t="s">
        <v>2600</v>
      </c>
      <c r="J1012" s="12" t="str">
        <f>HYPERLINK("https://www.boe.es/gazeta/dias/1807/01/16/pdfs/GMD-1807-5.pdf#page=10","Abrir facsímil")</f>
        <v>Abrir facsímil</v>
      </c>
      <c r="K1012" s="15" t="s">
        <v>22</v>
      </c>
    </row>
    <row r="1013" spans="1:11" ht="42" customHeight="1">
      <c r="A1013" s="4" t="s">
        <v>2601</v>
      </c>
      <c r="B1013" s="5" t="s">
        <v>2602</v>
      </c>
      <c r="C1013" s="5" t="s">
        <v>34</v>
      </c>
      <c r="D1013" s="5" t="s">
        <v>35</v>
      </c>
      <c r="E1013" s="5" t="s">
        <v>426</v>
      </c>
      <c r="F1013" s="9">
        <v>93</v>
      </c>
      <c r="G1013" s="9">
        <v>1083</v>
      </c>
      <c r="H1013" s="5" t="s">
        <v>20</v>
      </c>
      <c r="I1013" s="5" t="s">
        <v>2603</v>
      </c>
      <c r="J1013" s="12" t="str">
        <f>HYPERLINK("https://www.boe.es/gazeta/dias/1807/10/16/pdfs/GMD-1807-93.pdf#page=11","Abrir facsímil")</f>
        <v>Abrir facsímil</v>
      </c>
      <c r="K1013" s="15" t="s">
        <v>22</v>
      </c>
    </row>
    <row r="1014" spans="1:11" ht="42" customHeight="1">
      <c r="A1014" s="4" t="s">
        <v>2604</v>
      </c>
      <c r="B1014" s="5" t="s">
        <v>2605</v>
      </c>
      <c r="C1014" s="5" t="s">
        <v>34</v>
      </c>
      <c r="D1014" s="5" t="s">
        <v>35</v>
      </c>
      <c r="E1014" s="5" t="s">
        <v>478</v>
      </c>
      <c r="F1014" s="9">
        <v>30</v>
      </c>
      <c r="G1014" s="9">
        <v>358</v>
      </c>
      <c r="H1014" s="5" t="s">
        <v>20</v>
      </c>
      <c r="I1014" s="5" t="s">
        <v>2606</v>
      </c>
      <c r="J1014" s="12" t="str">
        <f>HYPERLINK("https://www.boe.es/gazeta/dias/1807/04/03/pdfs/GMD-1807-30.pdf#page=10","Abrir facsímil")</f>
        <v>Abrir facsímil</v>
      </c>
      <c r="K1014" s="15" t="s">
        <v>22</v>
      </c>
    </row>
    <row r="1015" spans="1:11" ht="42" customHeight="1">
      <c r="A1015" s="4" t="s">
        <v>2607</v>
      </c>
      <c r="B1015" s="5" t="s">
        <v>2608</v>
      </c>
      <c r="C1015" s="5" t="s">
        <v>34</v>
      </c>
      <c r="D1015" s="5" t="s">
        <v>35</v>
      </c>
      <c r="E1015" s="5" t="s">
        <v>1456</v>
      </c>
      <c r="F1015" s="9">
        <v>98</v>
      </c>
      <c r="G1015" s="9">
        <v>1142</v>
      </c>
      <c r="H1015" s="5" t="s">
        <v>20</v>
      </c>
      <c r="I1015" s="5" t="s">
        <v>2609</v>
      </c>
      <c r="J1015" s="12" t="str">
        <f>HYPERLINK("https://www.boe.es/gazeta/dias/1807/11/03/pdfs/GMD-1807-98.pdf#page=10","Abrir facsímil")</f>
        <v>Abrir facsímil</v>
      </c>
      <c r="K1015" s="15" t="s">
        <v>22</v>
      </c>
    </row>
    <row r="1016" spans="1:11" ht="42" customHeight="1">
      <c r="A1016" s="4" t="s">
        <v>2610</v>
      </c>
      <c r="B1016" s="5" t="s">
        <v>2611</v>
      </c>
      <c r="C1016" s="5" t="s">
        <v>28</v>
      </c>
      <c r="D1016" s="5" t="s">
        <v>29</v>
      </c>
      <c r="E1016" s="5" t="s">
        <v>152</v>
      </c>
      <c r="F1016" s="9">
        <v>61</v>
      </c>
      <c r="G1016" s="9">
        <v>725</v>
      </c>
      <c r="H1016" s="5" t="s">
        <v>20</v>
      </c>
      <c r="I1016" s="5" t="s">
        <v>2612</v>
      </c>
      <c r="J1016" s="12" t="str">
        <f>HYPERLINK("https://www.boe.es/gazeta/dias/1807/07/14/pdfs/GMD-1807-61.pdf#page=11","Abrir facsímil")</f>
        <v>Abrir facsímil</v>
      </c>
      <c r="K1016" s="15" t="s">
        <v>22</v>
      </c>
    </row>
    <row r="1017" spans="1:11" ht="42" customHeight="1">
      <c r="A1017" s="4" t="s">
        <v>2613</v>
      </c>
      <c r="B1017" s="5" t="s">
        <v>2614</v>
      </c>
      <c r="C1017" s="5" t="s">
        <v>17</v>
      </c>
      <c r="D1017" s="5" t="s">
        <v>18</v>
      </c>
      <c r="E1017" s="5" t="s">
        <v>561</v>
      </c>
      <c r="F1017" s="9">
        <v>44</v>
      </c>
      <c r="G1017" s="9">
        <v>530</v>
      </c>
      <c r="H1017" s="5" t="s">
        <v>20</v>
      </c>
      <c r="I1017" s="5" t="s">
        <v>2615</v>
      </c>
      <c r="J1017" s="12" t="str">
        <f>HYPERLINK("https://www.boe.es/gazeta/dias/1807/05/22/pdfs/GMD-1807-44.pdf#page=12","Abrir facsímil")</f>
        <v>Abrir facsímil</v>
      </c>
      <c r="K1017" s="15" t="s">
        <v>22</v>
      </c>
    </row>
    <row r="1018" spans="1:11" ht="42" customHeight="1">
      <c r="A1018" s="4" t="s">
        <v>2616</v>
      </c>
      <c r="B1018" s="5" t="s">
        <v>2617</v>
      </c>
      <c r="C1018" s="5" t="s">
        <v>89</v>
      </c>
      <c r="D1018" s="5" t="s">
        <v>90</v>
      </c>
      <c r="E1018" s="5" t="s">
        <v>309</v>
      </c>
      <c r="F1018" s="9">
        <v>107</v>
      </c>
      <c r="G1018" s="9">
        <v>1251</v>
      </c>
      <c r="H1018" s="5" t="s">
        <v>20</v>
      </c>
      <c r="I1018" s="5" t="s">
        <v>2618</v>
      </c>
      <c r="J1018" s="12" t="str">
        <f>HYPERLINK("https://www.boe.es/gazeta/dias/1807/12/01/pdfs/GMD-1807-107.pdf#page=11","Abrir facsímil")</f>
        <v>Abrir facsímil</v>
      </c>
      <c r="K1018" s="15" t="s">
        <v>22</v>
      </c>
    </row>
    <row r="1019" spans="1:11" ht="42" customHeight="1">
      <c r="A1019" s="4" t="s">
        <v>2619</v>
      </c>
      <c r="B1019" s="5" t="s">
        <v>2620</v>
      </c>
      <c r="C1019" s="5" t="s">
        <v>34</v>
      </c>
      <c r="D1019" s="5" t="s">
        <v>35</v>
      </c>
      <c r="E1019" s="5" t="s">
        <v>361</v>
      </c>
      <c r="F1019" s="9">
        <v>113</v>
      </c>
      <c r="G1019" s="9">
        <v>1322</v>
      </c>
      <c r="H1019" s="5" t="s">
        <v>20</v>
      </c>
      <c r="I1019" s="5" t="s">
        <v>2621</v>
      </c>
      <c r="J1019" s="12" t="str">
        <f>HYPERLINK("https://www.boe.es/gazeta/dias/1807/12/22/pdfs/GMD-1807-113.pdf#page=10","Abrir facsímil")</f>
        <v>Abrir facsímil</v>
      </c>
      <c r="K1019" s="15" t="s">
        <v>22</v>
      </c>
    </row>
    <row r="1020" spans="1:11" ht="42" customHeight="1">
      <c r="A1020" s="4" t="s">
        <v>2622</v>
      </c>
      <c r="B1020" s="5" t="s">
        <v>2623</v>
      </c>
      <c r="C1020" s="5" t="s">
        <v>34</v>
      </c>
      <c r="D1020" s="5" t="s">
        <v>35</v>
      </c>
      <c r="E1020" s="5" t="s">
        <v>186</v>
      </c>
      <c r="F1020" s="9">
        <v>72</v>
      </c>
      <c r="G1020" s="9">
        <v>829</v>
      </c>
      <c r="H1020" s="5" t="s">
        <v>20</v>
      </c>
      <c r="I1020" s="5" t="s">
        <v>2624</v>
      </c>
      <c r="J1020" s="12" t="str">
        <f>HYPERLINK("https://www.boe.es/gazeta/dias/1807/08/11/pdfs/GMD-1807-72.pdf#page=9","Abrir facsímil")</f>
        <v>Abrir facsímil</v>
      </c>
      <c r="K1020" s="15" t="s">
        <v>22</v>
      </c>
    </row>
    <row r="1021" spans="1:11" ht="42" customHeight="1">
      <c r="A1021" s="4" t="s">
        <v>2625</v>
      </c>
      <c r="B1021" s="5" t="s">
        <v>2626</v>
      </c>
      <c r="C1021" s="5" t="s">
        <v>28</v>
      </c>
      <c r="D1021" s="5" t="s">
        <v>29</v>
      </c>
      <c r="E1021" s="5" t="s">
        <v>654</v>
      </c>
      <c r="F1021" s="9">
        <v>94</v>
      </c>
      <c r="G1021" s="9">
        <v>1093</v>
      </c>
      <c r="H1021" s="5" t="s">
        <v>20</v>
      </c>
      <c r="I1021" s="5" t="s">
        <v>2627</v>
      </c>
      <c r="J1021" s="12" t="str">
        <f>HYPERLINK("https://www.boe.es/gazeta/dias/1807/10/20/pdfs/GMD-1807-94.pdf#page=9","Abrir facsímil")</f>
        <v>Abrir facsímil</v>
      </c>
      <c r="K1021" s="15" t="s">
        <v>22</v>
      </c>
    </row>
    <row r="1022" spans="1:11" ht="42" customHeight="1">
      <c r="A1022" s="4" t="s">
        <v>2628</v>
      </c>
      <c r="B1022" s="5" t="s">
        <v>2629</v>
      </c>
      <c r="C1022" s="5" t="s">
        <v>34</v>
      </c>
      <c r="D1022" s="5" t="s">
        <v>35</v>
      </c>
      <c r="E1022" s="5" t="s">
        <v>309</v>
      </c>
      <c r="F1022" s="9">
        <v>107</v>
      </c>
      <c r="G1022" s="9">
        <v>1249</v>
      </c>
      <c r="H1022" s="5" t="s">
        <v>20</v>
      </c>
      <c r="I1022" s="5" t="s">
        <v>2630</v>
      </c>
      <c r="J1022" s="12" t="str">
        <f>HYPERLINK("https://www.boe.es/gazeta/dias/1807/12/01/pdfs/GMD-1807-107.pdf#page=9","Abrir facsímil")</f>
        <v>Abrir facsímil</v>
      </c>
      <c r="K1022" s="15" t="s">
        <v>22</v>
      </c>
    </row>
    <row r="1023" spans="1:11" ht="42" customHeight="1">
      <c r="A1023" s="4" t="s">
        <v>2631</v>
      </c>
      <c r="B1023" s="5" t="s">
        <v>2632</v>
      </c>
      <c r="C1023" s="5" t="s">
        <v>24</v>
      </c>
      <c r="D1023" s="5" t="s">
        <v>18</v>
      </c>
      <c r="E1023" s="5" t="s">
        <v>309</v>
      </c>
      <c r="F1023" s="9">
        <v>107</v>
      </c>
      <c r="G1023" s="9">
        <v>1248</v>
      </c>
      <c r="H1023" s="5" t="s">
        <v>20</v>
      </c>
      <c r="I1023" s="5" t="s">
        <v>2633</v>
      </c>
      <c r="J1023" s="12" t="str">
        <f>HYPERLINK("https://www.boe.es/gazeta/dias/1807/12/01/pdfs/GMD-1807-107.pdf#page=8","Abrir facsímil")</f>
        <v>Abrir facsímil</v>
      </c>
      <c r="K1023" s="15" t="s">
        <v>22</v>
      </c>
    </row>
    <row r="1024" spans="1:11" ht="42" customHeight="1">
      <c r="A1024" s="4" t="s">
        <v>2634</v>
      </c>
      <c r="B1024" s="5" t="s">
        <v>2635</v>
      </c>
      <c r="C1024" s="5" t="s">
        <v>17</v>
      </c>
      <c r="D1024" s="5" t="s">
        <v>18</v>
      </c>
      <c r="E1024" s="5" t="s">
        <v>567</v>
      </c>
      <c r="F1024" s="9">
        <v>55</v>
      </c>
      <c r="G1024" s="9">
        <v>659</v>
      </c>
      <c r="H1024" s="5" t="s">
        <v>20</v>
      </c>
      <c r="I1024" s="5" t="s">
        <v>2636</v>
      </c>
      <c r="J1024" s="12" t="str">
        <f>HYPERLINK("https://www.boe.es/gazeta/dias/1807/06/30/pdfs/GMD-1807-55.pdf#page=9","Abrir facsímil")</f>
        <v>Abrir facsímil</v>
      </c>
      <c r="K1024" s="15" t="s">
        <v>22</v>
      </c>
    </row>
    <row r="1025" spans="1:11" ht="42" customHeight="1">
      <c r="A1025" s="4" t="s">
        <v>2637</v>
      </c>
      <c r="B1025" s="5" t="s">
        <v>2638</v>
      </c>
      <c r="C1025" s="5" t="s">
        <v>34</v>
      </c>
      <c r="D1025" s="5" t="s">
        <v>35</v>
      </c>
      <c r="E1025" s="5" t="s">
        <v>1456</v>
      </c>
      <c r="F1025" s="9">
        <v>98</v>
      </c>
      <c r="G1025" s="9">
        <v>1142</v>
      </c>
      <c r="H1025" s="5" t="s">
        <v>20</v>
      </c>
      <c r="I1025" s="5" t="s">
        <v>2639</v>
      </c>
      <c r="J1025" s="12" t="str">
        <f>HYPERLINK("https://www.boe.es/gazeta/dias/1807/11/03/pdfs/GMD-1807-98.pdf#page=10","Abrir facsímil")</f>
        <v>Abrir facsímil</v>
      </c>
      <c r="K1025" s="15" t="s">
        <v>22</v>
      </c>
    </row>
    <row r="1026" spans="1:11" ht="42" customHeight="1">
      <c r="A1026" s="4" t="s">
        <v>2640</v>
      </c>
      <c r="B1026" s="5" t="s">
        <v>2641</v>
      </c>
      <c r="C1026" s="5" t="s">
        <v>34</v>
      </c>
      <c r="D1026" s="5" t="s">
        <v>35</v>
      </c>
      <c r="E1026" s="5" t="s">
        <v>156</v>
      </c>
      <c r="F1026" s="9">
        <v>74</v>
      </c>
      <c r="G1026" s="9">
        <v>856</v>
      </c>
      <c r="H1026" s="5" t="s">
        <v>20</v>
      </c>
      <c r="I1026" s="5" t="s">
        <v>2642</v>
      </c>
      <c r="J1026" s="12" t="str">
        <f>HYPERLINK("https://www.boe.es/gazeta/dias/1807/08/18/pdfs/GMD-1807-74.pdf#page=8","Abrir facsímil")</f>
        <v>Abrir facsímil</v>
      </c>
      <c r="K1026" s="15" t="s">
        <v>22</v>
      </c>
    </row>
    <row r="1027" spans="1:11" ht="42" customHeight="1">
      <c r="A1027" s="4" t="s">
        <v>2643</v>
      </c>
      <c r="B1027" s="5" t="s">
        <v>2644</v>
      </c>
      <c r="C1027" s="5" t="s">
        <v>89</v>
      </c>
      <c r="D1027" s="5" t="s">
        <v>90</v>
      </c>
      <c r="E1027" s="5" t="s">
        <v>152</v>
      </c>
      <c r="F1027" s="9">
        <v>61</v>
      </c>
      <c r="G1027" s="9">
        <v>725</v>
      </c>
      <c r="H1027" s="5" t="s">
        <v>20</v>
      </c>
      <c r="I1027" s="5" t="s">
        <v>2645</v>
      </c>
      <c r="J1027" s="12" t="str">
        <f>HYPERLINK("https://www.boe.es/gazeta/dias/1807/07/14/pdfs/GMD-1807-61.pdf#page=11","Abrir facsímil")</f>
        <v>Abrir facsímil</v>
      </c>
      <c r="K1027" s="15" t="s">
        <v>22</v>
      </c>
    </row>
    <row r="1028" spans="1:11" ht="42" customHeight="1">
      <c r="A1028" s="4" t="s">
        <v>2646</v>
      </c>
      <c r="B1028" s="5" t="s">
        <v>2647</v>
      </c>
      <c r="C1028" s="5" t="s">
        <v>34</v>
      </c>
      <c r="D1028" s="5" t="s">
        <v>35</v>
      </c>
      <c r="E1028" s="5" t="s">
        <v>139</v>
      </c>
      <c r="F1028" s="9">
        <v>110</v>
      </c>
      <c r="G1028" s="9">
        <v>1284</v>
      </c>
      <c r="H1028" s="5" t="s">
        <v>20</v>
      </c>
      <c r="I1028" s="5" t="s">
        <v>2648</v>
      </c>
      <c r="J1028" s="12" t="str">
        <f>HYPERLINK("https://www.boe.es/gazeta/dias/1807/12/11/pdfs/GMD-1807-110.pdf#page=8","Abrir facsímil")</f>
        <v>Abrir facsímil</v>
      </c>
      <c r="K1028" s="15" t="s">
        <v>22</v>
      </c>
    </row>
    <row r="1029" spans="1:11" ht="42" customHeight="1">
      <c r="A1029" s="4" t="s">
        <v>2649</v>
      </c>
      <c r="B1029" s="5" t="s">
        <v>2650</v>
      </c>
      <c r="C1029" s="5" t="s">
        <v>34</v>
      </c>
      <c r="D1029" s="5" t="s">
        <v>35</v>
      </c>
      <c r="E1029" s="5" t="s">
        <v>561</v>
      </c>
      <c r="F1029" s="9">
        <v>44</v>
      </c>
      <c r="G1029" s="9">
        <v>524</v>
      </c>
      <c r="H1029" s="5" t="s">
        <v>20</v>
      </c>
      <c r="I1029" s="5" t="s">
        <v>2651</v>
      </c>
      <c r="J1029" s="12" t="str">
        <f>HYPERLINK("https://www.boe.es/gazeta/dias/1807/05/22/pdfs/GMD-1807-44.pdf#page=6","Abrir facsímil")</f>
        <v>Abrir facsímil</v>
      </c>
      <c r="K1029" s="15" t="s">
        <v>22</v>
      </c>
    </row>
    <row r="1030" spans="1:11" ht="42" customHeight="1">
      <c r="A1030" s="4" t="s">
        <v>2652</v>
      </c>
      <c r="B1030" s="5" t="s">
        <v>2653</v>
      </c>
      <c r="C1030" s="5" t="s">
        <v>17</v>
      </c>
      <c r="D1030" s="5" t="s">
        <v>18</v>
      </c>
      <c r="E1030" s="5" t="s">
        <v>321</v>
      </c>
      <c r="F1030" s="9">
        <v>75</v>
      </c>
      <c r="G1030" s="9">
        <v>868</v>
      </c>
      <c r="H1030" s="5" t="s">
        <v>20</v>
      </c>
      <c r="I1030" s="5" t="s">
        <v>2654</v>
      </c>
      <c r="J1030" s="12" t="str">
        <f>HYPERLINK("https://www.boe.es/gazeta/dias/1807/08/21/pdfs/GMD-1807-75.pdf#page=8","Abrir facsímil")</f>
        <v>Abrir facsímil</v>
      </c>
      <c r="K1030" s="15" t="s">
        <v>22</v>
      </c>
    </row>
    <row r="1031" spans="1:11" ht="42" customHeight="1">
      <c r="A1031" s="4" t="s">
        <v>2655</v>
      </c>
      <c r="B1031" s="5" t="s">
        <v>2656</v>
      </c>
      <c r="C1031" s="5" t="s">
        <v>17</v>
      </c>
      <c r="D1031" s="5" t="s">
        <v>18</v>
      </c>
      <c r="E1031" s="5" t="s">
        <v>152</v>
      </c>
      <c r="F1031" s="9">
        <v>61</v>
      </c>
      <c r="G1031" s="9">
        <v>724</v>
      </c>
      <c r="H1031" s="5" t="s">
        <v>20</v>
      </c>
      <c r="I1031" s="5" t="s">
        <v>2657</v>
      </c>
      <c r="J1031" s="12" t="str">
        <f>HYPERLINK("https://www.boe.es/gazeta/dias/1807/07/14/pdfs/GMD-1807-61.pdf#page=10","Abrir facsímil")</f>
        <v>Abrir facsímil</v>
      </c>
      <c r="K1031" s="15" t="s">
        <v>22</v>
      </c>
    </row>
    <row r="1032" spans="1:11" ht="42" customHeight="1">
      <c r="A1032" s="4" t="s">
        <v>2658</v>
      </c>
      <c r="B1032" s="5" t="s">
        <v>2659</v>
      </c>
      <c r="C1032" s="5" t="s">
        <v>24</v>
      </c>
      <c r="D1032" s="5" t="s">
        <v>18</v>
      </c>
      <c r="E1032" s="5" t="s">
        <v>507</v>
      </c>
      <c r="F1032" s="9">
        <v>48</v>
      </c>
      <c r="G1032" s="9">
        <v>570</v>
      </c>
      <c r="H1032" s="5" t="s">
        <v>20</v>
      </c>
      <c r="I1032" s="5" t="s">
        <v>2660</v>
      </c>
      <c r="J1032" s="12" t="str">
        <f>HYPERLINK("https://www.boe.es/gazeta/dias/1807/06/05/pdfs/GMD-1807-48.pdf#page=8","Abrir facsímil")</f>
        <v>Abrir facsímil</v>
      </c>
      <c r="K1032" s="15" t="s">
        <v>22</v>
      </c>
    </row>
    <row r="1033" spans="1:11" ht="42" customHeight="1">
      <c r="A1033" s="4" t="s">
        <v>2661</v>
      </c>
      <c r="B1033" s="5" t="s">
        <v>2662</v>
      </c>
      <c r="C1033" s="5" t="s">
        <v>34</v>
      </c>
      <c r="D1033" s="5" t="s">
        <v>35</v>
      </c>
      <c r="E1033" s="5" t="s">
        <v>94</v>
      </c>
      <c r="F1033" s="9">
        <v>22</v>
      </c>
      <c r="G1033" s="9">
        <v>255</v>
      </c>
      <c r="H1033" s="5" t="s">
        <v>20</v>
      </c>
      <c r="I1033" s="5" t="s">
        <v>2663</v>
      </c>
      <c r="J1033" s="12" t="str">
        <f>HYPERLINK("https://www.boe.es/gazeta/dias/1807/03/06/pdfs/GMD-1807-22.pdf#page=7","Abrir facsímil")</f>
        <v>Abrir facsímil</v>
      </c>
      <c r="K1033" s="15" t="s">
        <v>22</v>
      </c>
    </row>
    <row r="1034" spans="1:11" ht="42" customHeight="1">
      <c r="A1034" s="4" t="s">
        <v>2664</v>
      </c>
      <c r="B1034" s="5" t="s">
        <v>2665</v>
      </c>
      <c r="C1034" s="5" t="s">
        <v>17</v>
      </c>
      <c r="D1034" s="5" t="s">
        <v>18</v>
      </c>
      <c r="E1034" s="5" t="s">
        <v>561</v>
      </c>
      <c r="F1034" s="9">
        <v>44</v>
      </c>
      <c r="G1034" s="9">
        <v>525</v>
      </c>
      <c r="H1034" s="5" t="s">
        <v>20</v>
      </c>
      <c r="I1034" s="5" t="s">
        <v>2666</v>
      </c>
      <c r="J1034" s="12" t="str">
        <f>HYPERLINK("https://www.boe.es/gazeta/dias/1807/05/22/pdfs/GMD-1807-44.pdf#page=7","Abrir facsímil")</f>
        <v>Abrir facsímil</v>
      </c>
      <c r="K1034" s="15" t="s">
        <v>22</v>
      </c>
    </row>
    <row r="1035" spans="1:11" ht="42" customHeight="1">
      <c r="A1035" s="4" t="s">
        <v>2667</v>
      </c>
      <c r="B1035" s="5" t="s">
        <v>2668</v>
      </c>
      <c r="C1035" s="5" t="s">
        <v>34</v>
      </c>
      <c r="D1035" s="5" t="s">
        <v>35</v>
      </c>
      <c r="E1035" s="5" t="s">
        <v>183</v>
      </c>
      <c r="F1035" s="9">
        <v>1</v>
      </c>
      <c r="G1035" s="9">
        <v>10</v>
      </c>
      <c r="H1035" s="5" t="s">
        <v>20</v>
      </c>
      <c r="I1035" s="5" t="s">
        <v>2669</v>
      </c>
      <c r="J1035" s="12" t="str">
        <f>HYPERLINK("https://www.boe.es/gazeta/dias/1807/01/02/pdfs/GMD-1807-1.pdf#page=10","Abrir facsímil")</f>
        <v>Abrir facsímil</v>
      </c>
      <c r="K1035" s="15" t="s">
        <v>22</v>
      </c>
    </row>
    <row r="1036" spans="1:11" ht="42" customHeight="1">
      <c r="A1036" s="4" t="s">
        <v>2670</v>
      </c>
      <c r="B1036" s="5" t="s">
        <v>2671</v>
      </c>
      <c r="C1036" s="5" t="s">
        <v>49</v>
      </c>
      <c r="D1036" s="5" t="s">
        <v>50</v>
      </c>
      <c r="E1036" s="5" t="s">
        <v>183</v>
      </c>
      <c r="F1036" s="9">
        <v>1</v>
      </c>
      <c r="G1036" s="9">
        <v>5</v>
      </c>
      <c r="H1036" s="5" t="s">
        <v>20</v>
      </c>
      <c r="I1036" s="5" t="s">
        <v>2672</v>
      </c>
      <c r="J1036" s="12" t="str">
        <f>HYPERLINK("https://www.boe.es/gazeta/dias/1807/01/02/pdfs/GMD-1807-1.pdf#page=5","Abrir facsímil")</f>
        <v>Abrir facsímil</v>
      </c>
      <c r="K1036" s="15" t="s">
        <v>22</v>
      </c>
    </row>
    <row r="1037" spans="1:11" ht="42" customHeight="1">
      <c r="A1037" s="4" t="s">
        <v>2673</v>
      </c>
      <c r="B1037" s="5" t="s">
        <v>2674</v>
      </c>
      <c r="C1037" s="5" t="s">
        <v>28</v>
      </c>
      <c r="D1037" s="5" t="s">
        <v>29</v>
      </c>
      <c r="E1037" s="5" t="s">
        <v>25</v>
      </c>
      <c r="F1037" s="9">
        <v>45</v>
      </c>
      <c r="G1037" s="9">
        <v>541</v>
      </c>
      <c r="H1037" s="5" t="s">
        <v>20</v>
      </c>
      <c r="I1037" s="5" t="s">
        <v>2675</v>
      </c>
      <c r="J1037" s="12" t="str">
        <f>HYPERLINK("https://www.boe.es/gazeta/dias/1807/05/26/pdfs/GMD-1807-45.pdf#page=11","Abrir facsímil")</f>
        <v>Abrir facsímil</v>
      </c>
      <c r="K1037" s="15" t="s">
        <v>22</v>
      </c>
    </row>
    <row r="1038" spans="1:11" ht="42" customHeight="1">
      <c r="A1038" s="4" t="s">
        <v>2673</v>
      </c>
      <c r="B1038" s="5" t="s">
        <v>2674</v>
      </c>
      <c r="C1038" s="5" t="s">
        <v>24</v>
      </c>
      <c r="D1038" s="5" t="s">
        <v>18</v>
      </c>
      <c r="E1038" s="5" t="s">
        <v>219</v>
      </c>
      <c r="F1038" s="9">
        <v>56</v>
      </c>
      <c r="G1038" s="9">
        <v>672</v>
      </c>
      <c r="H1038" s="5" t="s">
        <v>20</v>
      </c>
      <c r="I1038" s="5" t="s">
        <v>2676</v>
      </c>
      <c r="J1038" s="12" t="str">
        <f>HYPERLINK("https://www.boe.es/gazeta/dias/1807/07/03/pdfs/GMD-1807-56.pdf#page=10","Abrir facsímil")</f>
        <v>Abrir facsímil</v>
      </c>
      <c r="K1038" s="15" t="s">
        <v>22</v>
      </c>
    </row>
    <row r="1039" spans="1:11" ht="42" customHeight="1">
      <c r="A1039" s="4" t="s">
        <v>2677</v>
      </c>
      <c r="B1039" s="5" t="s">
        <v>2678</v>
      </c>
      <c r="C1039" s="5" t="s">
        <v>34</v>
      </c>
      <c r="D1039" s="5" t="s">
        <v>35</v>
      </c>
      <c r="E1039" s="5" t="s">
        <v>53</v>
      </c>
      <c r="F1039" s="9">
        <v>64</v>
      </c>
      <c r="G1039" s="9">
        <v>747</v>
      </c>
      <c r="H1039" s="5" t="s">
        <v>20</v>
      </c>
      <c r="I1039" s="5" t="s">
        <v>2679</v>
      </c>
      <c r="J1039" s="12" t="str">
        <f>HYPERLINK("https://www.boe.es/gazeta/dias/1807/07/21/pdfs/GMD-1807-64.pdf#page=9","Abrir facsímil")</f>
        <v>Abrir facsímil</v>
      </c>
      <c r="K1039" s="15" t="s">
        <v>22</v>
      </c>
    </row>
    <row r="1040" spans="1:11" ht="42" customHeight="1">
      <c r="A1040" s="4" t="s">
        <v>2680</v>
      </c>
      <c r="B1040" s="5" t="s">
        <v>2681</v>
      </c>
      <c r="C1040" s="5" t="s">
        <v>17</v>
      </c>
      <c r="D1040" s="5" t="s">
        <v>18</v>
      </c>
      <c r="E1040" s="5" t="s">
        <v>595</v>
      </c>
      <c r="F1040" s="9">
        <v>59</v>
      </c>
      <c r="G1040" s="9">
        <v>701</v>
      </c>
      <c r="H1040" s="5" t="s">
        <v>20</v>
      </c>
      <c r="I1040" s="5" t="s">
        <v>2682</v>
      </c>
      <c r="J1040" s="12" t="str">
        <f>HYPERLINK("https://www.boe.es/gazeta/dias/1807/07/10/pdfs/GMD-1807-59.pdf#page=7","Abrir facsímil")</f>
        <v>Abrir facsímil</v>
      </c>
      <c r="K1040" s="15" t="s">
        <v>22</v>
      </c>
    </row>
    <row r="1041" spans="1:11" ht="42" customHeight="1">
      <c r="A1041" s="4" t="s">
        <v>2683</v>
      </c>
      <c r="B1041" s="5" t="s">
        <v>2684</v>
      </c>
      <c r="C1041" s="5" t="s">
        <v>28</v>
      </c>
      <c r="D1041" s="5" t="s">
        <v>29</v>
      </c>
      <c r="E1041" s="5" t="s">
        <v>139</v>
      </c>
      <c r="F1041" s="9">
        <v>110</v>
      </c>
      <c r="G1041" s="9">
        <v>1288</v>
      </c>
      <c r="H1041" s="5" t="s">
        <v>20</v>
      </c>
      <c r="I1041" s="5" t="s">
        <v>2685</v>
      </c>
      <c r="J1041" s="12" t="str">
        <f>HYPERLINK("https://www.boe.es/gazeta/dias/1807/12/11/pdfs/GMD-1807-110.pdf#page=12","Abrir facsímil")</f>
        <v>Abrir facsímil</v>
      </c>
      <c r="K1041" s="15" t="s">
        <v>22</v>
      </c>
    </row>
    <row r="1042" spans="1:11" ht="42" customHeight="1">
      <c r="A1042" s="4" t="s">
        <v>2686</v>
      </c>
      <c r="B1042" s="5" t="s">
        <v>2687</v>
      </c>
      <c r="C1042" s="5" t="s">
        <v>34</v>
      </c>
      <c r="D1042" s="5" t="s">
        <v>35</v>
      </c>
      <c r="E1042" s="5" t="s">
        <v>595</v>
      </c>
      <c r="F1042" s="9">
        <v>59</v>
      </c>
      <c r="G1042" s="9">
        <v>702</v>
      </c>
      <c r="H1042" s="5" t="s">
        <v>20</v>
      </c>
      <c r="I1042" s="5" t="s">
        <v>2688</v>
      </c>
      <c r="J1042" s="12" t="str">
        <f>HYPERLINK("https://www.boe.es/gazeta/dias/1807/07/10/pdfs/GMD-1807-59.pdf#page=8","Abrir facsímil")</f>
        <v>Abrir facsímil</v>
      </c>
      <c r="K1042" s="15" t="s">
        <v>22</v>
      </c>
    </row>
    <row r="1043" spans="1:11" ht="42" customHeight="1">
      <c r="A1043" s="4" t="s">
        <v>2689</v>
      </c>
      <c r="B1043" s="5" t="s">
        <v>2690</v>
      </c>
      <c r="C1043" s="5" t="s">
        <v>24</v>
      </c>
      <c r="D1043" s="5" t="s">
        <v>18</v>
      </c>
      <c r="E1043" s="5" t="s">
        <v>471</v>
      </c>
      <c r="F1043" s="9">
        <v>51</v>
      </c>
      <c r="G1043" s="9">
        <v>608</v>
      </c>
      <c r="H1043" s="5" t="s">
        <v>20</v>
      </c>
      <c r="I1043" s="5" t="s">
        <v>2691</v>
      </c>
      <c r="J1043" s="12" t="str">
        <f>HYPERLINK("https://www.boe.es/gazeta/dias/1807/06/16/pdfs/GMD-1807-51.pdf#page=10","Abrir facsímil")</f>
        <v>Abrir facsímil</v>
      </c>
      <c r="K1043" s="15" t="s">
        <v>22</v>
      </c>
    </row>
    <row r="1044" spans="1:11" ht="42" customHeight="1">
      <c r="A1044" s="4" t="s">
        <v>2692</v>
      </c>
      <c r="B1044" s="5" t="s">
        <v>2693</v>
      </c>
      <c r="C1044" s="5" t="s">
        <v>17</v>
      </c>
      <c r="D1044" s="5" t="s">
        <v>18</v>
      </c>
      <c r="E1044" s="5" t="s">
        <v>507</v>
      </c>
      <c r="F1044" s="9">
        <v>48</v>
      </c>
      <c r="G1044" s="9">
        <v>570</v>
      </c>
      <c r="H1044" s="5" t="s">
        <v>20</v>
      </c>
      <c r="I1044" s="5" t="s">
        <v>2694</v>
      </c>
      <c r="J1044" s="12" t="str">
        <f>HYPERLINK("https://www.boe.es/gazeta/dias/1807/06/05/pdfs/GMD-1807-48.pdf#page=8","Abrir facsímil")</f>
        <v>Abrir facsímil</v>
      </c>
      <c r="K1044" s="15" t="s">
        <v>22</v>
      </c>
    </row>
    <row r="1045" spans="1:11" ht="42" customHeight="1">
      <c r="A1045" s="4" t="s">
        <v>2695</v>
      </c>
      <c r="B1045" s="5" t="s">
        <v>2696</v>
      </c>
      <c r="C1045" s="5" t="s">
        <v>28</v>
      </c>
      <c r="D1045" s="5" t="s">
        <v>29</v>
      </c>
      <c r="E1045" s="5" t="s">
        <v>42</v>
      </c>
      <c r="F1045" s="9">
        <v>31</v>
      </c>
      <c r="G1045" s="9">
        <v>367</v>
      </c>
      <c r="H1045" s="5" t="s">
        <v>20</v>
      </c>
      <c r="I1045" s="5" t="s">
        <v>2697</v>
      </c>
      <c r="J1045" s="12" t="str">
        <f>HYPERLINK("https://www.boe.es/gazeta/dias/1807/04/07/pdfs/GMD-1807-31.pdf#page=7","Abrir facsímil")</f>
        <v>Abrir facsímil</v>
      </c>
      <c r="K1045" s="15" t="s">
        <v>22</v>
      </c>
    </row>
    <row r="1046" spans="1:11" ht="42" customHeight="1">
      <c r="A1046" s="4" t="s">
        <v>2695</v>
      </c>
      <c r="B1046" s="5" t="s">
        <v>2696</v>
      </c>
      <c r="C1046" s="5" t="s">
        <v>28</v>
      </c>
      <c r="D1046" s="5" t="s">
        <v>29</v>
      </c>
      <c r="E1046" s="5" t="s">
        <v>186</v>
      </c>
      <c r="F1046" s="9">
        <v>72</v>
      </c>
      <c r="G1046" s="9">
        <v>828</v>
      </c>
      <c r="H1046" s="5" t="s">
        <v>20</v>
      </c>
      <c r="I1046" s="5" t="s">
        <v>2698</v>
      </c>
      <c r="J1046" s="12" t="str">
        <f>HYPERLINK("https://www.boe.es/gazeta/dias/1807/08/11/pdfs/GMD-1807-72.pdf#page=8","Abrir facsímil")</f>
        <v>Abrir facsímil</v>
      </c>
      <c r="K1046" s="15" t="s">
        <v>22</v>
      </c>
    </row>
    <row r="1047" spans="1:11" ht="42" customHeight="1">
      <c r="A1047" s="4" t="s">
        <v>2699</v>
      </c>
      <c r="B1047" s="5" t="s">
        <v>2700</v>
      </c>
      <c r="C1047" s="5" t="s">
        <v>34</v>
      </c>
      <c r="D1047" s="5" t="s">
        <v>35</v>
      </c>
      <c r="E1047" s="5" t="s">
        <v>139</v>
      </c>
      <c r="F1047" s="9">
        <v>110</v>
      </c>
      <c r="G1047" s="9">
        <v>1285</v>
      </c>
      <c r="H1047" s="5" t="s">
        <v>20</v>
      </c>
      <c r="I1047" s="5" t="s">
        <v>2701</v>
      </c>
      <c r="J1047" s="12" t="str">
        <f>HYPERLINK("https://www.boe.es/gazeta/dias/1807/12/11/pdfs/GMD-1807-110.pdf#page=9","Abrir facsímil")</f>
        <v>Abrir facsímil</v>
      </c>
      <c r="K1047" s="15" t="s">
        <v>22</v>
      </c>
    </row>
    <row r="1048" spans="1:11" ht="42" customHeight="1">
      <c r="A1048" s="4" t="s">
        <v>2702</v>
      </c>
      <c r="B1048" s="5" t="s">
        <v>2703</v>
      </c>
      <c r="C1048" s="5" t="s">
        <v>34</v>
      </c>
      <c r="D1048" s="5" t="s">
        <v>35</v>
      </c>
      <c r="E1048" s="5" t="s">
        <v>62</v>
      </c>
      <c r="F1048" s="9">
        <v>68</v>
      </c>
      <c r="G1048" s="9">
        <v>783</v>
      </c>
      <c r="H1048" s="5" t="s">
        <v>20</v>
      </c>
      <c r="I1048" s="5" t="s">
        <v>2704</v>
      </c>
      <c r="J1048" s="12" t="str">
        <f>HYPERLINK("https://www.boe.es/gazeta/dias/1807/07/31/pdfs/GMD-1807-68.pdf#page=7","Abrir facsímil")</f>
        <v>Abrir facsímil</v>
      </c>
      <c r="K1048" s="15" t="s">
        <v>22</v>
      </c>
    </row>
    <row r="1049" spans="1:11" ht="42" customHeight="1">
      <c r="A1049" s="4" t="s">
        <v>2705</v>
      </c>
      <c r="B1049" s="5" t="s">
        <v>2706</v>
      </c>
      <c r="C1049" s="5" t="s">
        <v>24</v>
      </c>
      <c r="D1049" s="5" t="s">
        <v>18</v>
      </c>
      <c r="E1049" s="5" t="s">
        <v>42</v>
      </c>
      <c r="F1049" s="9">
        <v>31</v>
      </c>
      <c r="G1049" s="9">
        <v>371</v>
      </c>
      <c r="H1049" s="5" t="s">
        <v>20</v>
      </c>
      <c r="I1049" s="5" t="s">
        <v>2707</v>
      </c>
      <c r="J1049" s="12" t="str">
        <f>HYPERLINK("https://www.boe.es/gazeta/dias/1807/04/07/pdfs/GMD-1807-31.pdf#page=11","Abrir facsímil")</f>
        <v>Abrir facsímil</v>
      </c>
      <c r="K1049" s="15" t="s">
        <v>22</v>
      </c>
    </row>
    <row r="1050" spans="1:11" ht="42" customHeight="1">
      <c r="A1050" s="4" t="s">
        <v>2705</v>
      </c>
      <c r="B1050" s="5" t="s">
        <v>2706</v>
      </c>
      <c r="C1050" s="5" t="s">
        <v>17</v>
      </c>
      <c r="D1050" s="5" t="s">
        <v>18</v>
      </c>
      <c r="E1050" s="5" t="s">
        <v>266</v>
      </c>
      <c r="F1050" s="9">
        <v>67</v>
      </c>
      <c r="G1050" s="9">
        <v>775</v>
      </c>
      <c r="H1050" s="5" t="s">
        <v>20</v>
      </c>
      <c r="I1050" s="5" t="s">
        <v>2708</v>
      </c>
      <c r="J1050" s="12" t="str">
        <f>HYPERLINK("https://www.boe.es/gazeta/dias/1807/07/28/pdfs/GMD-1807-67.pdf#page=11","Abrir facsímil")</f>
        <v>Abrir facsímil</v>
      </c>
      <c r="K1050" s="15" t="s">
        <v>22</v>
      </c>
    </row>
    <row r="1051" spans="1:11" ht="42" customHeight="1">
      <c r="A1051" s="4" t="s">
        <v>2705</v>
      </c>
      <c r="B1051" s="5" t="s">
        <v>2706</v>
      </c>
      <c r="C1051" s="5" t="s">
        <v>17</v>
      </c>
      <c r="D1051" s="5" t="s">
        <v>18</v>
      </c>
      <c r="E1051" s="5" t="s">
        <v>221</v>
      </c>
      <c r="F1051" s="9">
        <v>73</v>
      </c>
      <c r="G1051" s="9">
        <v>847</v>
      </c>
      <c r="H1051" s="5" t="s">
        <v>20</v>
      </c>
      <c r="I1051" s="5" t="s">
        <v>2709</v>
      </c>
      <c r="J1051" s="12" t="str">
        <f>HYPERLINK("https://www.boe.es/gazeta/dias/1807/08/14/pdfs/GMD-1807-73.pdf#page=11","Abrir facsímil")</f>
        <v>Abrir facsímil</v>
      </c>
      <c r="K1051" s="15" t="s">
        <v>22</v>
      </c>
    </row>
    <row r="1052" spans="1:11" ht="42" customHeight="1">
      <c r="A1052" s="4" t="s">
        <v>2705</v>
      </c>
      <c r="B1052" s="5" t="s">
        <v>2706</v>
      </c>
      <c r="C1052" s="5" t="s">
        <v>17</v>
      </c>
      <c r="D1052" s="5" t="s">
        <v>18</v>
      </c>
      <c r="E1052" s="5" t="s">
        <v>406</v>
      </c>
      <c r="F1052" s="9">
        <v>82</v>
      </c>
      <c r="G1052" s="9">
        <v>959</v>
      </c>
      <c r="H1052" s="5" t="s">
        <v>20</v>
      </c>
      <c r="I1052" s="5" t="s">
        <v>2710</v>
      </c>
      <c r="J1052" s="12" t="str">
        <f>HYPERLINK("https://www.boe.es/gazeta/dias/1807/09/15/pdfs/GMD-1807-82.pdf#page=11","Abrir facsímil")</f>
        <v>Abrir facsímil</v>
      </c>
      <c r="K1052" s="15" t="s">
        <v>22</v>
      </c>
    </row>
    <row r="1053" spans="1:11" ht="42" customHeight="1">
      <c r="A1053" s="4" t="s">
        <v>2705</v>
      </c>
      <c r="B1053" s="5" t="s">
        <v>2706</v>
      </c>
      <c r="C1053" s="5" t="s">
        <v>34</v>
      </c>
      <c r="D1053" s="5" t="s">
        <v>35</v>
      </c>
      <c r="E1053" s="5" t="s">
        <v>441</v>
      </c>
      <c r="F1053" s="9">
        <v>92</v>
      </c>
      <c r="G1053" s="9">
        <v>1071</v>
      </c>
      <c r="H1053" s="5" t="s">
        <v>20</v>
      </c>
      <c r="I1053" s="5" t="s">
        <v>2711</v>
      </c>
      <c r="J1053" s="12" t="str">
        <f>HYPERLINK("https://www.boe.es/gazeta/dias/1807/10/13/pdfs/GMD-1807-92.pdf#page=11","Abrir facsímil")</f>
        <v>Abrir facsímil</v>
      </c>
      <c r="K1053" s="15" t="s">
        <v>22</v>
      </c>
    </row>
    <row r="1054" spans="1:11" ht="42" customHeight="1">
      <c r="A1054" s="4" t="s">
        <v>2712</v>
      </c>
      <c r="B1054" s="5" t="s">
        <v>2713</v>
      </c>
      <c r="C1054" s="5" t="s">
        <v>17</v>
      </c>
      <c r="D1054" s="5" t="s">
        <v>18</v>
      </c>
      <c r="E1054" s="5" t="s">
        <v>25</v>
      </c>
      <c r="F1054" s="9">
        <v>45</v>
      </c>
      <c r="G1054" s="9">
        <v>536</v>
      </c>
      <c r="H1054" s="5" t="s">
        <v>20</v>
      </c>
      <c r="I1054" s="5" t="s">
        <v>2714</v>
      </c>
      <c r="J1054" s="12" t="str">
        <f>HYPERLINK("https://www.boe.es/gazeta/dias/1807/05/26/pdfs/GMD-1807-45.pdf#page=6","Abrir facsímil")</f>
        <v>Abrir facsímil</v>
      </c>
      <c r="K1054" s="15" t="s">
        <v>22</v>
      </c>
    </row>
    <row r="1055" spans="1:11" ht="42" customHeight="1">
      <c r="A1055" s="4" t="s">
        <v>2715</v>
      </c>
      <c r="B1055" s="5" t="s">
        <v>2716</v>
      </c>
      <c r="C1055" s="5" t="s">
        <v>34</v>
      </c>
      <c r="D1055" s="5" t="s">
        <v>35</v>
      </c>
      <c r="E1055" s="5" t="s">
        <v>464</v>
      </c>
      <c r="F1055" s="9">
        <v>18</v>
      </c>
      <c r="G1055" s="9">
        <v>213</v>
      </c>
      <c r="H1055" s="5" t="s">
        <v>20</v>
      </c>
      <c r="I1055" s="5" t="s">
        <v>2717</v>
      </c>
      <c r="J1055" s="12" t="str">
        <f>HYPERLINK("https://www.boe.es/gazeta/dias/1807/02/24/pdfs/GMD-1807-18.pdf#page=13","Abrir facsímil")</f>
        <v>Abrir facsímil</v>
      </c>
      <c r="K1055" s="15" t="s">
        <v>22</v>
      </c>
    </row>
    <row r="1056" spans="1:11" ht="42" customHeight="1">
      <c r="A1056" s="4" t="s">
        <v>2718</v>
      </c>
      <c r="B1056" s="5" t="s">
        <v>2719</v>
      </c>
      <c r="C1056" s="5" t="s">
        <v>34</v>
      </c>
      <c r="D1056" s="5" t="s">
        <v>35</v>
      </c>
      <c r="E1056" s="5" t="s">
        <v>464</v>
      </c>
      <c r="F1056" s="9">
        <v>18</v>
      </c>
      <c r="G1056" s="9">
        <v>214</v>
      </c>
      <c r="H1056" s="5" t="s">
        <v>20</v>
      </c>
      <c r="I1056" s="5" t="s">
        <v>2720</v>
      </c>
      <c r="J1056" s="12" t="str">
        <f>HYPERLINK("https://www.boe.es/gazeta/dias/1807/02/24/pdfs/GMD-1807-18.pdf#page=14","Abrir facsímil")</f>
        <v>Abrir facsímil</v>
      </c>
      <c r="K1056" s="15" t="s">
        <v>22</v>
      </c>
    </row>
    <row r="1057" spans="1:11" ht="42" customHeight="1">
      <c r="A1057" s="4" t="s">
        <v>2721</v>
      </c>
      <c r="B1057" s="5" t="s">
        <v>2722</v>
      </c>
      <c r="C1057" s="5" t="s">
        <v>89</v>
      </c>
      <c r="D1057" s="5" t="s">
        <v>90</v>
      </c>
      <c r="E1057" s="5" t="s">
        <v>51</v>
      </c>
      <c r="F1057" s="9">
        <v>62</v>
      </c>
      <c r="G1057" s="9">
        <v>734</v>
      </c>
      <c r="H1057" s="5" t="s">
        <v>20</v>
      </c>
      <c r="I1057" s="5" t="s">
        <v>2723</v>
      </c>
      <c r="J1057" s="12" t="str">
        <f>HYPERLINK("https://www.boe.es/gazeta/dias/1807/07/17/pdfs/GMD-1807-62.pdf#page=8","Abrir facsímil")</f>
        <v>Abrir facsímil</v>
      </c>
      <c r="K1057" s="15" t="s">
        <v>22</v>
      </c>
    </row>
    <row r="1058" spans="1:11" ht="42" customHeight="1">
      <c r="A1058" s="4" t="s">
        <v>2724</v>
      </c>
      <c r="B1058" s="5" t="s">
        <v>2725</v>
      </c>
      <c r="C1058" s="5" t="s">
        <v>28</v>
      </c>
      <c r="D1058" s="5" t="s">
        <v>29</v>
      </c>
      <c r="E1058" s="5" t="s">
        <v>686</v>
      </c>
      <c r="F1058" s="9">
        <v>106</v>
      </c>
      <c r="G1058" s="9">
        <v>1238</v>
      </c>
      <c r="H1058" s="5" t="s">
        <v>20</v>
      </c>
      <c r="I1058" s="5" t="s">
        <v>2726</v>
      </c>
      <c r="J1058" s="12" t="str">
        <f>HYPERLINK("https://www.boe.es/gazeta/dias/1807/11/27/pdfs/GMD-1807-106.pdf#page=10","Abrir facsímil")</f>
        <v>Abrir facsímil</v>
      </c>
      <c r="K1058" s="15" t="s">
        <v>22</v>
      </c>
    </row>
    <row r="1059" spans="1:11" ht="42" customHeight="1">
      <c r="A1059" s="4" t="s">
        <v>2727</v>
      </c>
      <c r="B1059" s="5" t="s">
        <v>2728</v>
      </c>
      <c r="C1059" s="5" t="s">
        <v>24</v>
      </c>
      <c r="D1059" s="5" t="s">
        <v>18</v>
      </c>
      <c r="E1059" s="5" t="s">
        <v>94</v>
      </c>
      <c r="F1059" s="9">
        <v>22</v>
      </c>
      <c r="G1059" s="9">
        <v>256</v>
      </c>
      <c r="H1059" s="5" t="s">
        <v>20</v>
      </c>
      <c r="I1059" s="5" t="s">
        <v>2729</v>
      </c>
      <c r="J1059" s="12" t="str">
        <f>HYPERLINK("https://www.boe.es/gazeta/dias/1807/03/06/pdfs/GMD-1807-22.pdf#page=8","Abrir facsímil")</f>
        <v>Abrir facsímil</v>
      </c>
      <c r="K1059" s="15" t="s">
        <v>22</v>
      </c>
    </row>
    <row r="1060" spans="1:11" ht="42" customHeight="1">
      <c r="A1060" s="4" t="s">
        <v>2730</v>
      </c>
      <c r="B1060" s="5" t="s">
        <v>2731</v>
      </c>
      <c r="C1060" s="5" t="s">
        <v>34</v>
      </c>
      <c r="D1060" s="5" t="s">
        <v>35</v>
      </c>
      <c r="E1060" s="5" t="s">
        <v>111</v>
      </c>
      <c r="F1060" s="9">
        <v>90</v>
      </c>
      <c r="G1060" s="9">
        <v>1044</v>
      </c>
      <c r="H1060" s="5" t="s">
        <v>20</v>
      </c>
      <c r="I1060" s="5" t="s">
        <v>2732</v>
      </c>
      <c r="J1060" s="12" t="str">
        <f>HYPERLINK("https://www.boe.es/gazeta/dias/1807/10/06/pdfs/GMD-1807-90.pdf#page=12","Abrir facsímil")</f>
        <v>Abrir facsímil</v>
      </c>
      <c r="K1060" s="15" t="s">
        <v>22</v>
      </c>
    </row>
    <row r="1061" spans="1:11" ht="42" customHeight="1">
      <c r="A1061" s="4" t="s">
        <v>2733</v>
      </c>
      <c r="B1061" s="5" t="s">
        <v>2734</v>
      </c>
      <c r="C1061" s="5" t="s">
        <v>28</v>
      </c>
      <c r="D1061" s="5" t="s">
        <v>29</v>
      </c>
      <c r="E1061" s="5" t="s">
        <v>62</v>
      </c>
      <c r="F1061" s="9">
        <v>68</v>
      </c>
      <c r="G1061" s="9">
        <v>787</v>
      </c>
      <c r="H1061" s="5" t="s">
        <v>20</v>
      </c>
      <c r="I1061" s="5" t="s">
        <v>2735</v>
      </c>
      <c r="J1061" s="12" t="str">
        <f>HYPERLINK("https://www.boe.es/gazeta/dias/1807/07/31/pdfs/GMD-1807-68.pdf#page=11","Abrir facsímil")</f>
        <v>Abrir facsímil</v>
      </c>
      <c r="K1061" s="15" t="s">
        <v>22</v>
      </c>
    </row>
    <row r="1062" spans="1:11" ht="42" customHeight="1">
      <c r="A1062" s="4" t="s">
        <v>2736</v>
      </c>
      <c r="B1062" s="5" t="s">
        <v>2737</v>
      </c>
      <c r="C1062" s="5" t="s">
        <v>28</v>
      </c>
      <c r="D1062" s="5" t="s">
        <v>29</v>
      </c>
      <c r="E1062" s="5" t="s">
        <v>350</v>
      </c>
      <c r="F1062" s="9">
        <v>112</v>
      </c>
      <c r="G1062" s="9">
        <v>1309</v>
      </c>
      <c r="H1062" s="5" t="s">
        <v>20</v>
      </c>
      <c r="I1062" s="5" t="s">
        <v>2738</v>
      </c>
      <c r="J1062" s="12" t="str">
        <f>HYPERLINK("https://www.boe.es/gazeta/dias/1807/12/18/pdfs/GMD-1807-112.pdf#page=9","Abrir facsímil")</f>
        <v>Abrir facsímil</v>
      </c>
      <c r="K1062" s="15" t="s">
        <v>22</v>
      </c>
    </row>
    <row r="1063" spans="1:11" ht="42" customHeight="1">
      <c r="A1063" s="4" t="s">
        <v>2739</v>
      </c>
      <c r="B1063" s="5" t="s">
        <v>2740</v>
      </c>
      <c r="C1063" s="5" t="s">
        <v>34</v>
      </c>
      <c r="D1063" s="5" t="s">
        <v>35</v>
      </c>
      <c r="E1063" s="5" t="s">
        <v>505</v>
      </c>
      <c r="F1063" s="9">
        <v>47</v>
      </c>
      <c r="G1063" s="9">
        <v>561</v>
      </c>
      <c r="H1063" s="5" t="s">
        <v>20</v>
      </c>
      <c r="I1063" s="5" t="s">
        <v>2741</v>
      </c>
      <c r="J1063" s="12" t="str">
        <f>HYPERLINK("https://www.boe.es/gazeta/dias/1807/06/02/pdfs/GMD-1807-47.pdf#page=7","Abrir facsímil")</f>
        <v>Abrir facsímil</v>
      </c>
      <c r="K1063" s="15" t="s">
        <v>22</v>
      </c>
    </row>
    <row r="1064" spans="1:11" ht="42" customHeight="1">
      <c r="A1064" s="4" t="s">
        <v>2742</v>
      </c>
      <c r="B1064" s="5" t="s">
        <v>2743</v>
      </c>
      <c r="C1064" s="5" t="s">
        <v>34</v>
      </c>
      <c r="D1064" s="5" t="s">
        <v>35</v>
      </c>
      <c r="E1064" s="5" t="s">
        <v>109</v>
      </c>
      <c r="F1064" s="9">
        <v>58</v>
      </c>
      <c r="G1064" s="9">
        <v>688</v>
      </c>
      <c r="H1064" s="5" t="s">
        <v>20</v>
      </c>
      <c r="I1064" s="5" t="s">
        <v>2744</v>
      </c>
      <c r="J1064" s="12" t="str">
        <f>HYPERLINK("https://www.boe.es/gazeta/dias/1807/07/07/pdfs/GMD-1807-58.pdf#page=6","Abrir facsímil")</f>
        <v>Abrir facsímil</v>
      </c>
      <c r="K1064" s="15" t="s">
        <v>22</v>
      </c>
    </row>
    <row r="1065" spans="1:11" ht="42" customHeight="1">
      <c r="A1065" s="4" t="s">
        <v>2745</v>
      </c>
      <c r="B1065" s="5" t="s">
        <v>2746</v>
      </c>
      <c r="C1065" s="5" t="s">
        <v>34</v>
      </c>
      <c r="D1065" s="5" t="s">
        <v>35</v>
      </c>
      <c r="E1065" s="5" t="s">
        <v>131</v>
      </c>
      <c r="F1065" s="9">
        <v>28</v>
      </c>
      <c r="G1065" s="9">
        <v>334</v>
      </c>
      <c r="H1065" s="5" t="s">
        <v>20</v>
      </c>
      <c r="I1065" s="5" t="s">
        <v>2747</v>
      </c>
      <c r="J1065" s="12" t="str">
        <f>HYPERLINK("https://www.boe.es/gazeta/dias/1807/03/27/pdfs/GMD-1807-28.pdf#page=6","Abrir facsímil")</f>
        <v>Abrir facsímil</v>
      </c>
      <c r="K1065" s="15" t="s">
        <v>22</v>
      </c>
    </row>
    <row r="1066" spans="1:11" ht="42" customHeight="1">
      <c r="A1066" s="4" t="s">
        <v>2748</v>
      </c>
      <c r="B1066" s="5" t="s">
        <v>2749</v>
      </c>
      <c r="C1066" s="5" t="s">
        <v>34</v>
      </c>
      <c r="D1066" s="5" t="s">
        <v>35</v>
      </c>
      <c r="E1066" s="5" t="s">
        <v>98</v>
      </c>
      <c r="F1066" s="9">
        <v>34</v>
      </c>
      <c r="G1066" s="9">
        <v>405</v>
      </c>
      <c r="H1066" s="5" t="s">
        <v>20</v>
      </c>
      <c r="I1066" s="5" t="s">
        <v>2750</v>
      </c>
      <c r="J1066" s="12" t="str">
        <f>HYPERLINK("https://www.boe.es/gazeta/dias/1807/04/17/pdfs/GMD-1807-34.pdf#page=9","Abrir facsímil")</f>
        <v>Abrir facsímil</v>
      </c>
      <c r="K1066" s="15" t="s">
        <v>22</v>
      </c>
    </row>
    <row r="1067" spans="1:11" ht="42" customHeight="1">
      <c r="A1067" s="4" t="s">
        <v>2751</v>
      </c>
      <c r="B1067" s="5" t="s">
        <v>2752</v>
      </c>
      <c r="C1067" s="5" t="s">
        <v>28</v>
      </c>
      <c r="D1067" s="5" t="s">
        <v>29</v>
      </c>
      <c r="E1067" s="5" t="s">
        <v>76</v>
      </c>
      <c r="F1067" s="9">
        <v>7</v>
      </c>
      <c r="G1067" s="9">
        <v>78</v>
      </c>
      <c r="H1067" s="5" t="s">
        <v>20</v>
      </c>
      <c r="I1067" s="5" t="s">
        <v>2753</v>
      </c>
      <c r="J1067" s="12" t="str">
        <f>HYPERLINK("https://www.boe.es/gazeta/dias/1807/01/20/pdfs/GMD-1807-7.pdf#page=10","Abrir facsímil")</f>
        <v>Abrir facsímil</v>
      </c>
      <c r="K1067" s="15" t="s">
        <v>22</v>
      </c>
    </row>
    <row r="1068" spans="1:11" ht="42" customHeight="1">
      <c r="A1068" s="4" t="s">
        <v>2754</v>
      </c>
      <c r="B1068" s="5" t="s">
        <v>2755</v>
      </c>
      <c r="C1068" s="5" t="s">
        <v>34</v>
      </c>
      <c r="D1068" s="5" t="s">
        <v>35</v>
      </c>
      <c r="E1068" s="5" t="s">
        <v>123</v>
      </c>
      <c r="F1068" s="9">
        <v>70</v>
      </c>
      <c r="G1068" s="9">
        <v>806</v>
      </c>
      <c r="H1068" s="5" t="s">
        <v>20</v>
      </c>
      <c r="I1068" s="5" t="s">
        <v>2756</v>
      </c>
      <c r="J1068" s="12" t="str">
        <f>HYPERLINK("https://www.boe.es/gazeta/dias/1807/08/04/pdfs/GMD-1807-70.pdf#page=10","Abrir facsímil")</f>
        <v>Abrir facsímil</v>
      </c>
      <c r="K1068" s="15" t="s">
        <v>22</v>
      </c>
    </row>
    <row r="1069" spans="1:11" ht="42" customHeight="1">
      <c r="A1069" s="4" t="s">
        <v>2754</v>
      </c>
      <c r="B1069" s="5" t="s">
        <v>2755</v>
      </c>
      <c r="C1069" s="5" t="s">
        <v>28</v>
      </c>
      <c r="D1069" s="5" t="s">
        <v>29</v>
      </c>
      <c r="E1069" s="5" t="s">
        <v>186</v>
      </c>
      <c r="F1069" s="9">
        <v>72</v>
      </c>
      <c r="G1069" s="9">
        <v>829</v>
      </c>
      <c r="H1069" s="5" t="s">
        <v>20</v>
      </c>
      <c r="I1069" s="5" t="s">
        <v>2757</v>
      </c>
      <c r="J1069" s="12" t="str">
        <f>HYPERLINK("https://www.boe.es/gazeta/dias/1807/08/11/pdfs/GMD-1807-72.pdf#page=9","Abrir facsímil")</f>
        <v>Abrir facsímil</v>
      </c>
      <c r="K1069" s="15" t="s">
        <v>22</v>
      </c>
    </row>
    <row r="1070" spans="1:11" ht="42" customHeight="1">
      <c r="A1070" s="4" t="s">
        <v>2758</v>
      </c>
      <c r="B1070" s="5" t="s">
        <v>2759</v>
      </c>
      <c r="C1070" s="5" t="s">
        <v>24</v>
      </c>
      <c r="D1070" s="5" t="s">
        <v>18</v>
      </c>
      <c r="E1070" s="5" t="s">
        <v>270</v>
      </c>
      <c r="F1070" s="9">
        <v>8</v>
      </c>
      <c r="G1070" s="9">
        <v>95</v>
      </c>
      <c r="H1070" s="5" t="s">
        <v>20</v>
      </c>
      <c r="I1070" s="5" t="s">
        <v>2760</v>
      </c>
      <c r="J1070" s="12" t="str">
        <f>HYPERLINK("https://www.boe.es/gazeta/dias/1807/01/23/pdfs/GMD-1807-8.pdf#page=11","Abrir facsímil")</f>
        <v>Abrir facsímil</v>
      </c>
      <c r="K1070" s="15" t="s">
        <v>22</v>
      </c>
    </row>
    <row r="1071" spans="1:11" ht="42" customHeight="1">
      <c r="A1071" s="4" t="s">
        <v>2761</v>
      </c>
      <c r="B1071" s="5" t="s">
        <v>2762</v>
      </c>
      <c r="C1071" s="5" t="s">
        <v>28</v>
      </c>
      <c r="D1071" s="5" t="s">
        <v>29</v>
      </c>
      <c r="E1071" s="5" t="s">
        <v>101</v>
      </c>
      <c r="F1071" s="9">
        <v>23</v>
      </c>
      <c r="G1071" s="9">
        <v>274</v>
      </c>
      <c r="H1071" s="5" t="s">
        <v>20</v>
      </c>
      <c r="I1071" s="5" t="s">
        <v>2763</v>
      </c>
      <c r="J1071" s="12" t="str">
        <f>HYPERLINK("https://www.boe.es/gazeta/dias/1807/03/10/pdfs/GMD-1807-23.pdf#page=14","Abrir facsímil")</f>
        <v>Abrir facsímil</v>
      </c>
      <c r="K1071" s="15" t="s">
        <v>22</v>
      </c>
    </row>
    <row r="1072" spans="1:11" ht="42" customHeight="1">
      <c r="A1072" s="4" t="s">
        <v>2758</v>
      </c>
      <c r="B1072" s="5" t="s">
        <v>2759</v>
      </c>
      <c r="C1072" s="5" t="s">
        <v>34</v>
      </c>
      <c r="D1072" s="5" t="s">
        <v>35</v>
      </c>
      <c r="E1072" s="5" t="s">
        <v>42</v>
      </c>
      <c r="F1072" s="9">
        <v>31</v>
      </c>
      <c r="G1072" s="9">
        <v>371</v>
      </c>
      <c r="H1072" s="5" t="s">
        <v>20</v>
      </c>
      <c r="I1072" s="5" t="s">
        <v>2764</v>
      </c>
      <c r="J1072" s="12" t="str">
        <f>HYPERLINK("https://www.boe.es/gazeta/dias/1807/04/07/pdfs/GMD-1807-31.pdf#page=11","Abrir facsímil")</f>
        <v>Abrir facsímil</v>
      </c>
      <c r="K1072" s="15" t="s">
        <v>22</v>
      </c>
    </row>
    <row r="1073" spans="1:11" ht="42" customHeight="1">
      <c r="A1073" s="4" t="s">
        <v>2761</v>
      </c>
      <c r="B1073" s="5" t="s">
        <v>2762</v>
      </c>
      <c r="C1073" s="5" t="s">
        <v>24</v>
      </c>
      <c r="D1073" s="5" t="s">
        <v>18</v>
      </c>
      <c r="E1073" s="5" t="s">
        <v>71</v>
      </c>
      <c r="F1073" s="9">
        <v>35</v>
      </c>
      <c r="G1073" s="9">
        <v>418</v>
      </c>
      <c r="H1073" s="5" t="s">
        <v>20</v>
      </c>
      <c r="I1073" s="5" t="s">
        <v>2765</v>
      </c>
      <c r="J1073" s="12" t="str">
        <f>HYPERLINK("https://www.boe.es/gazeta/dias/1807/04/21/pdfs/GMD-1807-35.pdf#page=10","Abrir facsímil")</f>
        <v>Abrir facsímil</v>
      </c>
      <c r="K1073" s="15" t="s">
        <v>22</v>
      </c>
    </row>
    <row r="1074" spans="1:11" ht="42" customHeight="1">
      <c r="A1074" s="4" t="s">
        <v>2758</v>
      </c>
      <c r="B1074" s="5" t="s">
        <v>2759</v>
      </c>
      <c r="C1074" s="5" t="s">
        <v>24</v>
      </c>
      <c r="D1074" s="5" t="s">
        <v>18</v>
      </c>
      <c r="E1074" s="5" t="s">
        <v>414</v>
      </c>
      <c r="F1074" s="9">
        <v>40</v>
      </c>
      <c r="G1074" s="9">
        <v>480</v>
      </c>
      <c r="H1074" s="5" t="s">
        <v>20</v>
      </c>
      <c r="I1074" s="5" t="s">
        <v>2766</v>
      </c>
      <c r="J1074" s="12" t="str">
        <f>HYPERLINK("https://www.boe.es/gazeta/dias/1807/05/08/pdfs/GMD-1807-40.pdf#page=10","Abrir facsímil")</f>
        <v>Abrir facsímil</v>
      </c>
      <c r="K1074" s="15" t="s">
        <v>22</v>
      </c>
    </row>
    <row r="1075" spans="1:11" ht="42" customHeight="1">
      <c r="A1075" s="4" t="s">
        <v>2761</v>
      </c>
      <c r="B1075" s="5" t="s">
        <v>2762</v>
      </c>
      <c r="C1075" s="5" t="s">
        <v>24</v>
      </c>
      <c r="D1075" s="5" t="s">
        <v>18</v>
      </c>
      <c r="E1075" s="5" t="s">
        <v>561</v>
      </c>
      <c r="F1075" s="9">
        <v>44</v>
      </c>
      <c r="G1075" s="9">
        <v>529</v>
      </c>
      <c r="H1075" s="5" t="s">
        <v>20</v>
      </c>
      <c r="I1075" s="5" t="s">
        <v>2767</v>
      </c>
      <c r="J1075" s="12" t="str">
        <f>HYPERLINK("https://www.boe.es/gazeta/dias/1807/05/22/pdfs/GMD-1807-44.pdf#page=11","Abrir facsímil")</f>
        <v>Abrir facsímil</v>
      </c>
      <c r="K1075" s="15" t="s">
        <v>22</v>
      </c>
    </row>
    <row r="1076" spans="1:11" ht="42" customHeight="1">
      <c r="A1076" s="4" t="s">
        <v>2768</v>
      </c>
      <c r="B1076" s="5" t="s">
        <v>2769</v>
      </c>
      <c r="C1076" s="5" t="s">
        <v>24</v>
      </c>
      <c r="D1076" s="5" t="s">
        <v>18</v>
      </c>
      <c r="E1076" s="5" t="s">
        <v>81</v>
      </c>
      <c r="F1076" s="9">
        <v>49</v>
      </c>
      <c r="G1076" s="9">
        <v>586</v>
      </c>
      <c r="H1076" s="5" t="s">
        <v>20</v>
      </c>
      <c r="I1076" s="5" t="s">
        <v>2770</v>
      </c>
      <c r="J1076" s="12" t="str">
        <f>HYPERLINK("https://www.boe.es/gazeta/dias/1807/06/09/pdfs/GMD-1807-49.pdf#page=12","Abrir facsímil")</f>
        <v>Abrir facsímil</v>
      </c>
      <c r="K1076" s="15" t="s">
        <v>22</v>
      </c>
    </row>
    <row r="1077" spans="1:11" ht="42" customHeight="1">
      <c r="A1077" s="4" t="s">
        <v>2758</v>
      </c>
      <c r="B1077" s="5" t="s">
        <v>2759</v>
      </c>
      <c r="C1077" s="5" t="s">
        <v>24</v>
      </c>
      <c r="D1077" s="5" t="s">
        <v>18</v>
      </c>
      <c r="E1077" s="5" t="s">
        <v>595</v>
      </c>
      <c r="F1077" s="9">
        <v>59</v>
      </c>
      <c r="G1077" s="9">
        <v>704</v>
      </c>
      <c r="H1077" s="5" t="s">
        <v>20</v>
      </c>
      <c r="I1077" s="5" t="s">
        <v>2771</v>
      </c>
      <c r="J1077" s="12" t="str">
        <f>HYPERLINK("https://www.boe.es/gazeta/dias/1807/07/10/pdfs/GMD-1807-59.pdf#page=10","Abrir facsímil")</f>
        <v>Abrir facsímil</v>
      </c>
      <c r="K1077" s="15" t="s">
        <v>22</v>
      </c>
    </row>
    <row r="1078" spans="1:11" ht="42" customHeight="1">
      <c r="A1078" s="4" t="s">
        <v>2761</v>
      </c>
      <c r="B1078" s="5" t="s">
        <v>2762</v>
      </c>
      <c r="C1078" s="5" t="s">
        <v>89</v>
      </c>
      <c r="D1078" s="5" t="s">
        <v>90</v>
      </c>
      <c r="E1078" s="5" t="s">
        <v>46</v>
      </c>
      <c r="F1078" s="9">
        <v>78</v>
      </c>
      <c r="G1078" s="9">
        <v>906</v>
      </c>
      <c r="H1078" s="5" t="s">
        <v>20</v>
      </c>
      <c r="I1078" s="5" t="s">
        <v>2772</v>
      </c>
      <c r="J1078" s="12" t="str">
        <f>HYPERLINK("https://www.boe.es/gazeta/dias/1807/09/01/pdfs/GMD-1807-78.pdf#page=10","Abrir facsímil")</f>
        <v>Abrir facsímil</v>
      </c>
      <c r="K1078" s="15" t="s">
        <v>22</v>
      </c>
    </row>
    <row r="1079" spans="1:11" ht="42" customHeight="1">
      <c r="A1079" s="4" t="s">
        <v>2773</v>
      </c>
      <c r="B1079" s="5" t="s">
        <v>2774</v>
      </c>
      <c r="C1079" s="5" t="s">
        <v>34</v>
      </c>
      <c r="D1079" s="5" t="s">
        <v>35</v>
      </c>
      <c r="E1079" s="5" t="s">
        <v>422</v>
      </c>
      <c r="F1079" s="9">
        <v>33</v>
      </c>
      <c r="G1079" s="9">
        <v>395</v>
      </c>
      <c r="H1079" s="5" t="s">
        <v>20</v>
      </c>
      <c r="I1079" s="5" t="s">
        <v>2775</v>
      </c>
      <c r="J1079" s="12" t="str">
        <f>HYPERLINK("https://www.boe.es/gazeta/dias/1807/04/14/pdfs/GMD-1807-33.pdf#page=11","Abrir facsímil")</f>
        <v>Abrir facsímil</v>
      </c>
      <c r="K1079" s="15" t="s">
        <v>22</v>
      </c>
    </row>
    <row r="1080" spans="1:11" ht="42" customHeight="1">
      <c r="A1080" s="4" t="s">
        <v>2773</v>
      </c>
      <c r="B1080" s="5" t="s">
        <v>2774</v>
      </c>
      <c r="C1080" s="5" t="s">
        <v>24</v>
      </c>
      <c r="D1080" s="5" t="s">
        <v>18</v>
      </c>
      <c r="E1080" s="5" t="s">
        <v>36</v>
      </c>
      <c r="F1080" s="9">
        <v>36</v>
      </c>
      <c r="G1080" s="9">
        <v>431</v>
      </c>
      <c r="H1080" s="5" t="s">
        <v>20</v>
      </c>
      <c r="I1080" s="5" t="s">
        <v>2776</v>
      </c>
      <c r="J1080" s="12" t="str">
        <f>HYPERLINK("https://www.boe.es/gazeta/dias/1807/04/24/pdfs/GMD-1807-36.pdf#page=11","Abrir facsímil")</f>
        <v>Abrir facsímil</v>
      </c>
      <c r="K1080" s="15" t="s">
        <v>22</v>
      </c>
    </row>
    <row r="1081" spans="1:11" ht="42" customHeight="1">
      <c r="A1081" s="4" t="s">
        <v>2777</v>
      </c>
      <c r="B1081" s="5" t="s">
        <v>2778</v>
      </c>
      <c r="C1081" s="5" t="s">
        <v>28</v>
      </c>
      <c r="D1081" s="5" t="s">
        <v>29</v>
      </c>
      <c r="E1081" s="5" t="s">
        <v>104</v>
      </c>
      <c r="F1081" s="9">
        <v>25</v>
      </c>
      <c r="G1081" s="9">
        <v>302</v>
      </c>
      <c r="H1081" s="5" t="s">
        <v>20</v>
      </c>
      <c r="I1081" s="5" t="s">
        <v>2779</v>
      </c>
      <c r="J1081" s="12" t="str">
        <f>HYPERLINK("https://www.boe.es/gazeta/dias/1807/03/17/pdfs/GMD-1807-25.pdf#page=10","Abrir facsímil")</f>
        <v>Abrir facsímil</v>
      </c>
      <c r="K1081" s="15" t="s">
        <v>22</v>
      </c>
    </row>
    <row r="1082" spans="1:11" ht="42" customHeight="1">
      <c r="A1082" s="4" t="s">
        <v>2777</v>
      </c>
      <c r="B1082" s="5" t="s">
        <v>2778</v>
      </c>
      <c r="C1082" s="5" t="s">
        <v>28</v>
      </c>
      <c r="D1082" s="5" t="s">
        <v>29</v>
      </c>
      <c r="E1082" s="5" t="s">
        <v>53</v>
      </c>
      <c r="F1082" s="9">
        <v>64</v>
      </c>
      <c r="G1082" s="9">
        <v>749</v>
      </c>
      <c r="H1082" s="5" t="s">
        <v>20</v>
      </c>
      <c r="I1082" s="5" t="s">
        <v>2780</v>
      </c>
      <c r="J1082" s="12" t="str">
        <f>HYPERLINK("https://www.boe.es/gazeta/dias/1807/07/21/pdfs/GMD-1807-64.pdf#page=11","Abrir facsímil")</f>
        <v>Abrir facsímil</v>
      </c>
      <c r="K1082" s="15" t="s">
        <v>22</v>
      </c>
    </row>
    <row r="1083" spans="1:11" ht="42" customHeight="1">
      <c r="A1083" s="4" t="s">
        <v>2777</v>
      </c>
      <c r="B1083" s="5" t="s">
        <v>2778</v>
      </c>
      <c r="C1083" s="5" t="s">
        <v>24</v>
      </c>
      <c r="D1083" s="5" t="s">
        <v>18</v>
      </c>
      <c r="E1083" s="5" t="s">
        <v>754</v>
      </c>
      <c r="F1083" s="9">
        <v>103</v>
      </c>
      <c r="G1083" s="9">
        <v>1204</v>
      </c>
      <c r="H1083" s="5" t="s">
        <v>20</v>
      </c>
      <c r="I1083" s="5" t="s">
        <v>2781</v>
      </c>
      <c r="J1083" s="12" t="str">
        <f>HYPERLINK("https://www.boe.es/gazeta/dias/1807/11/20/pdfs/GMD-1807-103.pdf#page=12","Abrir facsímil")</f>
        <v>Abrir facsímil</v>
      </c>
      <c r="K1083" s="15" t="s">
        <v>22</v>
      </c>
    </row>
    <row r="1084" spans="1:11" ht="42" customHeight="1">
      <c r="A1084" s="4" t="s">
        <v>2782</v>
      </c>
      <c r="B1084" s="5" t="s">
        <v>2783</v>
      </c>
      <c r="C1084" s="5" t="s">
        <v>17</v>
      </c>
      <c r="D1084" s="5" t="s">
        <v>18</v>
      </c>
      <c r="E1084" s="5" t="s">
        <v>346</v>
      </c>
      <c r="F1084" s="9">
        <v>21</v>
      </c>
      <c r="G1084" s="9">
        <v>244</v>
      </c>
      <c r="H1084" s="5" t="s">
        <v>20</v>
      </c>
      <c r="I1084" s="5" t="s">
        <v>2784</v>
      </c>
      <c r="J1084" s="12" t="str">
        <f>HYPERLINK("https://www.boe.es/gazeta/dias/1807/03/03/pdfs/GMD-1807-21.pdf#page=8","Abrir facsímil")</f>
        <v>Abrir facsímil</v>
      </c>
      <c r="K1084" s="15" t="s">
        <v>22</v>
      </c>
    </row>
    <row r="1085" spans="1:11" ht="42" customHeight="1">
      <c r="A1085" s="4" t="s">
        <v>2785</v>
      </c>
      <c r="B1085" s="5" t="s">
        <v>2786</v>
      </c>
      <c r="C1085" s="5" t="s">
        <v>34</v>
      </c>
      <c r="D1085" s="5" t="s">
        <v>35</v>
      </c>
      <c r="E1085" s="5" t="s">
        <v>51</v>
      </c>
      <c r="F1085" s="9">
        <v>62</v>
      </c>
      <c r="G1085" s="9">
        <v>732</v>
      </c>
      <c r="H1085" s="5" t="s">
        <v>20</v>
      </c>
      <c r="I1085" s="5" t="s">
        <v>2787</v>
      </c>
      <c r="J1085" s="12" t="str">
        <f>HYPERLINK("https://www.boe.es/gazeta/dias/1807/07/17/pdfs/GMD-1807-62.pdf#page=6","Abrir facsímil")</f>
        <v>Abrir facsímil</v>
      </c>
      <c r="K1085" s="15" t="s">
        <v>22</v>
      </c>
    </row>
    <row r="1086" spans="1:11" ht="42" customHeight="1">
      <c r="A1086" s="4" t="s">
        <v>2788</v>
      </c>
      <c r="B1086" s="5" t="s">
        <v>2789</v>
      </c>
      <c r="C1086" s="5" t="s">
        <v>34</v>
      </c>
      <c r="D1086" s="5" t="s">
        <v>35</v>
      </c>
      <c r="E1086" s="5" t="s">
        <v>83</v>
      </c>
      <c r="F1086" s="9">
        <v>50</v>
      </c>
      <c r="G1086" s="9">
        <v>594</v>
      </c>
      <c r="H1086" s="5" t="s">
        <v>20</v>
      </c>
      <c r="I1086" s="5" t="s">
        <v>2790</v>
      </c>
      <c r="J1086" s="12" t="str">
        <f>HYPERLINK("https://www.boe.es/gazeta/dias/1807/06/12/pdfs/GMD-1807-50.pdf#page=8","Abrir facsímil")</f>
        <v>Abrir facsímil</v>
      </c>
      <c r="K1086" s="15" t="s">
        <v>22</v>
      </c>
    </row>
    <row r="1087" spans="1:11" ht="42" customHeight="1">
      <c r="A1087" s="4" t="s">
        <v>2791</v>
      </c>
      <c r="B1087" s="5" t="s">
        <v>2792</v>
      </c>
      <c r="C1087" s="5" t="s">
        <v>34</v>
      </c>
      <c r="D1087" s="5" t="s">
        <v>35</v>
      </c>
      <c r="E1087" s="5" t="s">
        <v>40</v>
      </c>
      <c r="F1087" s="9">
        <v>26</v>
      </c>
      <c r="G1087" s="9">
        <v>312</v>
      </c>
      <c r="H1087" s="5" t="s">
        <v>20</v>
      </c>
      <c r="I1087" s="5" t="s">
        <v>2793</v>
      </c>
      <c r="J1087" s="12" t="str">
        <f>HYPERLINK("https://www.boe.es/gazeta/dias/1807/03/20/pdfs/GMD-1807-26.pdf#page=8","Abrir facsímil")</f>
        <v>Abrir facsímil</v>
      </c>
      <c r="K1087" s="15" t="s">
        <v>22</v>
      </c>
    </row>
    <row r="1088" spans="1:11" ht="42" customHeight="1">
      <c r="A1088" s="4" t="s">
        <v>2794</v>
      </c>
      <c r="B1088" s="5" t="s">
        <v>2795</v>
      </c>
      <c r="C1088" s="5" t="s">
        <v>28</v>
      </c>
      <c r="D1088" s="5" t="s">
        <v>29</v>
      </c>
      <c r="E1088" s="5" t="s">
        <v>444</v>
      </c>
      <c r="F1088" s="9">
        <v>95</v>
      </c>
      <c r="G1088" s="9">
        <v>1105</v>
      </c>
      <c r="H1088" s="5" t="s">
        <v>20</v>
      </c>
      <c r="I1088" s="5" t="s">
        <v>2796</v>
      </c>
      <c r="J1088" s="12" t="str">
        <f>HYPERLINK("https://www.boe.es/gazeta/dias/1807/10/23/pdfs/GMD-1807-95.pdf#page=9","Abrir facsímil")</f>
        <v>Abrir facsímil</v>
      </c>
      <c r="K1088" s="15" t="s">
        <v>22</v>
      </c>
    </row>
    <row r="1089" spans="1:11" ht="42" customHeight="1">
      <c r="A1089" s="4" t="s">
        <v>2797</v>
      </c>
      <c r="B1089" s="5" t="s">
        <v>2798</v>
      </c>
      <c r="C1089" s="5" t="s">
        <v>34</v>
      </c>
      <c r="D1089" s="5" t="s">
        <v>35</v>
      </c>
      <c r="E1089" s="5" t="s">
        <v>139</v>
      </c>
      <c r="F1089" s="9">
        <v>110</v>
      </c>
      <c r="G1089" s="9">
        <v>1286</v>
      </c>
      <c r="H1089" s="5" t="s">
        <v>20</v>
      </c>
      <c r="I1089" s="5" t="s">
        <v>2799</v>
      </c>
      <c r="J1089" s="12" t="str">
        <f>HYPERLINK("https://www.boe.es/gazeta/dias/1807/12/11/pdfs/GMD-1807-110.pdf#page=10","Abrir facsímil")</f>
        <v>Abrir facsímil</v>
      </c>
      <c r="K1089" s="15" t="s">
        <v>22</v>
      </c>
    </row>
    <row r="1090" spans="1:11" ht="42" customHeight="1">
      <c r="A1090" s="4" t="s">
        <v>2800</v>
      </c>
      <c r="B1090" s="5" t="s">
        <v>2801</v>
      </c>
      <c r="C1090" s="5" t="s">
        <v>28</v>
      </c>
      <c r="D1090" s="5" t="s">
        <v>29</v>
      </c>
      <c r="E1090" s="5" t="s">
        <v>686</v>
      </c>
      <c r="F1090" s="9">
        <v>106</v>
      </c>
      <c r="G1090" s="9">
        <v>1237</v>
      </c>
      <c r="H1090" s="5" t="s">
        <v>20</v>
      </c>
      <c r="I1090" s="5" t="s">
        <v>2802</v>
      </c>
      <c r="J1090" s="12" t="str">
        <f>HYPERLINK("https://www.boe.es/gazeta/dias/1807/11/27/pdfs/GMD-1807-106.pdf#page=9","Abrir facsímil")</f>
        <v>Abrir facsímil</v>
      </c>
      <c r="K1090" s="15" t="s">
        <v>22</v>
      </c>
    </row>
    <row r="1091" spans="1:11" ht="42" customHeight="1">
      <c r="A1091" s="4" t="s">
        <v>2803</v>
      </c>
      <c r="B1091" s="5" t="s">
        <v>2804</v>
      </c>
      <c r="C1091" s="5" t="s">
        <v>28</v>
      </c>
      <c r="D1091" s="5" t="s">
        <v>29</v>
      </c>
      <c r="E1091" s="5" t="s">
        <v>104</v>
      </c>
      <c r="F1091" s="9">
        <v>25</v>
      </c>
      <c r="G1091" s="9">
        <v>302</v>
      </c>
      <c r="H1091" s="5" t="s">
        <v>20</v>
      </c>
      <c r="I1091" s="5" t="s">
        <v>2805</v>
      </c>
      <c r="J1091" s="12" t="str">
        <f>HYPERLINK("https://www.boe.es/gazeta/dias/1807/03/17/pdfs/GMD-1807-25.pdf#page=10","Abrir facsímil")</f>
        <v>Abrir facsímil</v>
      </c>
      <c r="K1091" s="15" t="s">
        <v>22</v>
      </c>
    </row>
    <row r="1092" spans="1:11" ht="42" customHeight="1">
      <c r="A1092" s="4" t="s">
        <v>2803</v>
      </c>
      <c r="B1092" s="5" t="s">
        <v>2804</v>
      </c>
      <c r="C1092" s="5" t="s">
        <v>28</v>
      </c>
      <c r="D1092" s="5" t="s">
        <v>29</v>
      </c>
      <c r="E1092" s="5" t="s">
        <v>53</v>
      </c>
      <c r="F1092" s="9">
        <v>64</v>
      </c>
      <c r="G1092" s="9">
        <v>748</v>
      </c>
      <c r="H1092" s="5" t="s">
        <v>20</v>
      </c>
      <c r="I1092" s="5" t="s">
        <v>2806</v>
      </c>
      <c r="J1092" s="12" t="str">
        <f>HYPERLINK("https://www.boe.es/gazeta/dias/1807/07/21/pdfs/GMD-1807-64.pdf#page=10","Abrir facsímil")</f>
        <v>Abrir facsímil</v>
      </c>
      <c r="K1092" s="15" t="s">
        <v>22</v>
      </c>
    </row>
    <row r="1093" spans="1:11" ht="42" customHeight="1">
      <c r="A1093" s="4" t="s">
        <v>2803</v>
      </c>
      <c r="B1093" s="5" t="s">
        <v>2804</v>
      </c>
      <c r="C1093" s="5" t="s">
        <v>28</v>
      </c>
      <c r="D1093" s="5" t="s">
        <v>29</v>
      </c>
      <c r="E1093" s="5" t="s">
        <v>754</v>
      </c>
      <c r="F1093" s="9">
        <v>103</v>
      </c>
      <c r="G1093" s="9">
        <v>1203</v>
      </c>
      <c r="H1093" s="5" t="s">
        <v>20</v>
      </c>
      <c r="I1093" s="5" t="s">
        <v>2807</v>
      </c>
      <c r="J1093" s="12" t="str">
        <f>HYPERLINK("https://www.boe.es/gazeta/dias/1807/11/20/pdfs/GMD-1807-103.pdf#page=11","Abrir facsímil")</f>
        <v>Abrir facsímil</v>
      </c>
      <c r="K1093" s="15" t="s">
        <v>22</v>
      </c>
    </row>
    <row r="1094" spans="1:11" ht="42" customHeight="1">
      <c r="A1094" s="4" t="s">
        <v>2808</v>
      </c>
      <c r="B1094" s="5" t="s">
        <v>2809</v>
      </c>
      <c r="C1094" s="5" t="s">
        <v>28</v>
      </c>
      <c r="D1094" s="5" t="s">
        <v>29</v>
      </c>
      <c r="E1094" s="5" t="s">
        <v>686</v>
      </c>
      <c r="F1094" s="9">
        <v>106</v>
      </c>
      <c r="G1094" s="9">
        <v>1237</v>
      </c>
      <c r="H1094" s="5" t="s">
        <v>20</v>
      </c>
      <c r="I1094" s="5" t="s">
        <v>2810</v>
      </c>
      <c r="J1094" s="12" t="str">
        <f>HYPERLINK("https://www.boe.es/gazeta/dias/1807/11/27/pdfs/GMD-1807-106.pdf#page=9","Abrir facsímil")</f>
        <v>Abrir facsímil</v>
      </c>
      <c r="K1094" s="15" t="s">
        <v>22</v>
      </c>
    </row>
    <row r="1095" spans="1:11" ht="42" customHeight="1">
      <c r="A1095" s="4" t="s">
        <v>2811</v>
      </c>
      <c r="B1095" s="5" t="s">
        <v>2812</v>
      </c>
      <c r="C1095" s="5" t="s">
        <v>24</v>
      </c>
      <c r="D1095" s="5" t="s">
        <v>18</v>
      </c>
      <c r="E1095" s="5" t="s">
        <v>471</v>
      </c>
      <c r="F1095" s="9">
        <v>51</v>
      </c>
      <c r="G1095" s="9">
        <v>609</v>
      </c>
      <c r="H1095" s="5" t="s">
        <v>20</v>
      </c>
      <c r="I1095" s="5" t="s">
        <v>2813</v>
      </c>
      <c r="J1095" s="12" t="str">
        <f>HYPERLINK("https://www.boe.es/gazeta/dias/1807/06/16/pdfs/GMD-1807-51.pdf#page=11","Abrir facsímil")</f>
        <v>Abrir facsímil</v>
      </c>
      <c r="K1095" s="15" t="s">
        <v>22</v>
      </c>
    </row>
    <row r="1096" spans="1:11" ht="42" customHeight="1">
      <c r="A1096" s="4" t="s">
        <v>2814</v>
      </c>
      <c r="B1096" s="5" t="s">
        <v>2815</v>
      </c>
      <c r="C1096" s="5" t="s">
        <v>34</v>
      </c>
      <c r="D1096" s="5" t="s">
        <v>35</v>
      </c>
      <c r="E1096" s="5" t="s">
        <v>190</v>
      </c>
      <c r="F1096" s="9">
        <v>37</v>
      </c>
      <c r="G1096" s="9">
        <v>440</v>
      </c>
      <c r="H1096" s="5" t="s">
        <v>20</v>
      </c>
      <c r="I1096" s="5" t="s">
        <v>2816</v>
      </c>
      <c r="J1096" s="12" t="str">
        <f>HYPERLINK("https://www.boe.es/gazeta/dias/1807/04/28/pdfs/GMD-1807-37.pdf#page=8","Abrir facsímil")</f>
        <v>Abrir facsímil</v>
      </c>
      <c r="K1096" s="15" t="s">
        <v>22</v>
      </c>
    </row>
    <row r="1097" spans="1:11" ht="42" customHeight="1">
      <c r="A1097" s="4" t="s">
        <v>2817</v>
      </c>
      <c r="B1097" s="5" t="s">
        <v>2818</v>
      </c>
      <c r="C1097" s="5" t="s">
        <v>34</v>
      </c>
      <c r="D1097" s="5" t="s">
        <v>35</v>
      </c>
      <c r="E1097" s="5" t="s">
        <v>309</v>
      </c>
      <c r="F1097" s="9">
        <v>107</v>
      </c>
      <c r="G1097" s="9">
        <v>1247</v>
      </c>
      <c r="H1097" s="5" t="s">
        <v>20</v>
      </c>
      <c r="I1097" s="5" t="s">
        <v>2819</v>
      </c>
      <c r="J1097" s="12" t="str">
        <f>HYPERLINK("https://www.boe.es/gazeta/dias/1807/12/01/pdfs/GMD-1807-107.pdf#page=7","Abrir facsímil")</f>
        <v>Abrir facsímil</v>
      </c>
      <c r="K1097" s="15" t="s">
        <v>22</v>
      </c>
    </row>
    <row r="1098" spans="1:11" ht="42" customHeight="1">
      <c r="A1098" s="4" t="s">
        <v>2820</v>
      </c>
      <c r="B1098" s="5" t="s">
        <v>2821</v>
      </c>
      <c r="C1098" s="5" t="s">
        <v>17</v>
      </c>
      <c r="D1098" s="5" t="s">
        <v>18</v>
      </c>
      <c r="E1098" s="5" t="s">
        <v>176</v>
      </c>
      <c r="F1098" s="9">
        <v>17</v>
      </c>
      <c r="G1098" s="9">
        <v>199</v>
      </c>
      <c r="H1098" s="5" t="s">
        <v>20</v>
      </c>
      <c r="I1098" s="5" t="s">
        <v>2822</v>
      </c>
      <c r="J1098" s="12" t="str">
        <f>HYPERLINK("https://www.boe.es/gazeta/dias/1807/02/20/pdfs/GMD-1807-17.pdf#page=11","Abrir facsímil")</f>
        <v>Abrir facsímil</v>
      </c>
      <c r="K1098" s="15" t="s">
        <v>22</v>
      </c>
    </row>
    <row r="1099" spans="1:11" ht="42" customHeight="1">
      <c r="A1099" s="4" t="s">
        <v>2823</v>
      </c>
      <c r="B1099" s="5" t="s">
        <v>2824</v>
      </c>
      <c r="C1099" s="5" t="s">
        <v>28</v>
      </c>
      <c r="D1099" s="5" t="s">
        <v>29</v>
      </c>
      <c r="E1099" s="5" t="s">
        <v>123</v>
      </c>
      <c r="F1099" s="9">
        <v>70</v>
      </c>
      <c r="G1099" s="9">
        <v>806</v>
      </c>
      <c r="H1099" s="5" t="s">
        <v>20</v>
      </c>
      <c r="I1099" s="5" t="s">
        <v>2825</v>
      </c>
      <c r="J1099" s="12" t="str">
        <f>HYPERLINK("https://www.boe.es/gazeta/dias/1807/08/04/pdfs/GMD-1807-70.pdf#page=10","Abrir facsímil")</f>
        <v>Abrir facsímil</v>
      </c>
      <c r="K1099" s="15" t="s">
        <v>22</v>
      </c>
    </row>
    <row r="1100" spans="1:11" ht="42" customHeight="1">
      <c r="A1100" s="4" t="s">
        <v>2826</v>
      </c>
      <c r="B1100" s="5" t="s">
        <v>2827</v>
      </c>
      <c r="C1100" s="5" t="s">
        <v>34</v>
      </c>
      <c r="D1100" s="5" t="s">
        <v>35</v>
      </c>
      <c r="E1100" s="5" t="s">
        <v>654</v>
      </c>
      <c r="F1100" s="9">
        <v>94</v>
      </c>
      <c r="G1100" s="9">
        <v>1093</v>
      </c>
      <c r="H1100" s="5" t="s">
        <v>20</v>
      </c>
      <c r="I1100" s="5" t="s">
        <v>2828</v>
      </c>
      <c r="J1100" s="12" t="str">
        <f>HYPERLINK("https://www.boe.es/gazeta/dias/1807/10/20/pdfs/GMD-1807-94.pdf#page=9","Abrir facsímil")</f>
        <v>Abrir facsímil</v>
      </c>
      <c r="K1100" s="15" t="s">
        <v>22</v>
      </c>
    </row>
    <row r="1101" spans="1:11" ht="42" customHeight="1">
      <c r="A1101" s="4" t="s">
        <v>2829</v>
      </c>
      <c r="B1101" s="5" t="s">
        <v>2830</v>
      </c>
      <c r="C1101" s="5" t="s">
        <v>28</v>
      </c>
      <c r="D1101" s="5" t="s">
        <v>29</v>
      </c>
      <c r="E1101" s="5" t="s">
        <v>346</v>
      </c>
      <c r="F1101" s="9">
        <v>21</v>
      </c>
      <c r="G1101" s="9">
        <v>246</v>
      </c>
      <c r="H1101" s="5" t="s">
        <v>20</v>
      </c>
      <c r="I1101" s="5" t="s">
        <v>2831</v>
      </c>
      <c r="J1101" s="12" t="str">
        <f>HYPERLINK("https://www.boe.es/gazeta/dias/1807/03/03/pdfs/GMD-1807-21.pdf#page=10","Abrir facsímil")</f>
        <v>Abrir facsímil</v>
      </c>
      <c r="K1101" s="15" t="s">
        <v>22</v>
      </c>
    </row>
    <row r="1102" spans="1:11" ht="42" customHeight="1">
      <c r="A1102" s="4" t="s">
        <v>2832</v>
      </c>
      <c r="B1102" s="5" t="s">
        <v>2833</v>
      </c>
      <c r="C1102" s="5" t="s">
        <v>34</v>
      </c>
      <c r="D1102" s="5" t="s">
        <v>35</v>
      </c>
      <c r="E1102" s="5" t="s">
        <v>620</v>
      </c>
      <c r="F1102" s="9">
        <v>84</v>
      </c>
      <c r="G1102" s="9">
        <v>981</v>
      </c>
      <c r="H1102" s="5" t="s">
        <v>20</v>
      </c>
      <c r="I1102" s="5" t="s">
        <v>2834</v>
      </c>
      <c r="J1102" s="12" t="str">
        <f>HYPERLINK("https://www.boe.es/gazeta/dias/1807/09/22/pdfs/GMD-1807-84.pdf#page=9","Abrir facsímil")</f>
        <v>Abrir facsímil</v>
      </c>
      <c r="K1102" s="15" t="s">
        <v>22</v>
      </c>
    </row>
    <row r="1103" spans="1:11" ht="42" customHeight="1">
      <c r="A1103" s="4" t="s">
        <v>2835</v>
      </c>
      <c r="B1103" s="5" t="s">
        <v>2836</v>
      </c>
      <c r="C1103" s="5" t="s">
        <v>34</v>
      </c>
      <c r="D1103" s="5" t="s">
        <v>35</v>
      </c>
      <c r="E1103" s="5" t="s">
        <v>40</v>
      </c>
      <c r="F1103" s="9">
        <v>26</v>
      </c>
      <c r="G1103" s="9">
        <v>312</v>
      </c>
      <c r="H1103" s="5" t="s">
        <v>20</v>
      </c>
      <c r="I1103" s="5" t="s">
        <v>2837</v>
      </c>
      <c r="J1103" s="12" t="str">
        <f>HYPERLINK("https://www.boe.es/gazeta/dias/1807/03/20/pdfs/GMD-1807-26.pdf#page=8","Abrir facsímil")</f>
        <v>Abrir facsímil</v>
      </c>
      <c r="K1103" s="15" t="s">
        <v>22</v>
      </c>
    </row>
    <row r="1104" spans="1:11" ht="42" customHeight="1">
      <c r="A1104" s="4" t="s">
        <v>2838</v>
      </c>
      <c r="B1104" s="5" t="s">
        <v>2839</v>
      </c>
      <c r="C1104" s="5" t="s">
        <v>89</v>
      </c>
      <c r="D1104" s="5" t="s">
        <v>90</v>
      </c>
      <c r="E1104" s="5" t="s">
        <v>109</v>
      </c>
      <c r="F1104" s="9">
        <v>58</v>
      </c>
      <c r="G1104" s="9">
        <v>692</v>
      </c>
      <c r="H1104" s="5" t="s">
        <v>20</v>
      </c>
      <c r="I1104" s="5" t="s">
        <v>2840</v>
      </c>
      <c r="J1104" s="12" t="str">
        <f>HYPERLINK("https://www.boe.es/gazeta/dias/1807/07/07/pdfs/GMD-1807-58.pdf#page=10","Abrir facsímil")</f>
        <v>Abrir facsímil</v>
      </c>
      <c r="K1104" s="15" t="s">
        <v>22</v>
      </c>
    </row>
    <row r="1105" spans="1:11" ht="42" customHeight="1">
      <c r="A1105" s="4" t="s">
        <v>2841</v>
      </c>
      <c r="B1105" s="5" t="s">
        <v>2842</v>
      </c>
      <c r="C1105" s="5" t="s">
        <v>28</v>
      </c>
      <c r="D1105" s="5" t="s">
        <v>29</v>
      </c>
      <c r="E1105" s="5" t="s">
        <v>167</v>
      </c>
      <c r="F1105" s="9">
        <v>77</v>
      </c>
      <c r="G1105" s="9">
        <v>892</v>
      </c>
      <c r="H1105" s="5" t="s">
        <v>20</v>
      </c>
      <c r="I1105" s="5" t="s">
        <v>2843</v>
      </c>
      <c r="J1105" s="12" t="str">
        <f>HYPERLINK("https://www.boe.es/gazeta/dias/1807/08/28/pdfs/GMD-1807-77.pdf#page=8","Abrir facsímil")</f>
        <v>Abrir facsímil</v>
      </c>
      <c r="K1105" s="15" t="s">
        <v>22</v>
      </c>
    </row>
    <row r="1106" spans="1:11" ht="42" customHeight="1">
      <c r="A1106" s="4" t="s">
        <v>2844</v>
      </c>
      <c r="B1106" s="5" t="s">
        <v>2845</v>
      </c>
      <c r="C1106" s="5" t="s">
        <v>28</v>
      </c>
      <c r="D1106" s="5" t="s">
        <v>29</v>
      </c>
      <c r="E1106" s="5" t="s">
        <v>152</v>
      </c>
      <c r="F1106" s="9">
        <v>61</v>
      </c>
      <c r="G1106" s="9">
        <v>723</v>
      </c>
      <c r="H1106" s="5" t="s">
        <v>20</v>
      </c>
      <c r="I1106" s="5" t="s">
        <v>2846</v>
      </c>
      <c r="J1106" s="12" t="str">
        <f>HYPERLINK("https://www.boe.es/gazeta/dias/1807/07/14/pdfs/GMD-1807-61.pdf#page=9","Abrir facsímil")</f>
        <v>Abrir facsímil</v>
      </c>
      <c r="K1106" s="15" t="s">
        <v>22</v>
      </c>
    </row>
    <row r="1107" spans="1:11" ht="42" customHeight="1">
      <c r="A1107" s="4" t="s">
        <v>2847</v>
      </c>
      <c r="B1107" s="5" t="s">
        <v>2848</v>
      </c>
      <c r="C1107" s="5" t="s">
        <v>34</v>
      </c>
      <c r="D1107" s="5" t="s">
        <v>35</v>
      </c>
      <c r="E1107" s="5" t="s">
        <v>62</v>
      </c>
      <c r="F1107" s="9">
        <v>68</v>
      </c>
      <c r="G1107" s="9">
        <v>784</v>
      </c>
      <c r="H1107" s="5" t="s">
        <v>20</v>
      </c>
      <c r="I1107" s="5" t="s">
        <v>2849</v>
      </c>
      <c r="J1107" s="12" t="str">
        <f>HYPERLINK("https://www.boe.es/gazeta/dias/1807/07/31/pdfs/GMD-1807-68.pdf#page=8","Abrir facsímil")</f>
        <v>Abrir facsímil</v>
      </c>
      <c r="K1107" s="15" t="s">
        <v>22</v>
      </c>
    </row>
    <row r="1108" spans="1:11" ht="42" customHeight="1">
      <c r="A1108" s="4" t="s">
        <v>2850</v>
      </c>
      <c r="B1108" s="5" t="s">
        <v>2851</v>
      </c>
      <c r="C1108" s="5" t="s">
        <v>24</v>
      </c>
      <c r="D1108" s="5" t="s">
        <v>18</v>
      </c>
      <c r="E1108" s="5" t="s">
        <v>91</v>
      </c>
      <c r="F1108" s="9">
        <v>109</v>
      </c>
      <c r="G1108" s="9">
        <v>1274</v>
      </c>
      <c r="H1108" s="5" t="s">
        <v>20</v>
      </c>
      <c r="I1108" s="5" t="s">
        <v>2852</v>
      </c>
      <c r="J1108" s="12" t="str">
        <f>HYPERLINK("https://www.boe.es/gazeta/dias/1807/12/08/pdfs/GMD-1807-109.pdf#page=10","Abrir facsímil")</f>
        <v>Abrir facsímil</v>
      </c>
      <c r="K1108" s="15" t="s">
        <v>22</v>
      </c>
    </row>
    <row r="1109" spans="1:11" ht="42" customHeight="1">
      <c r="A1109" s="4" t="s">
        <v>2853</v>
      </c>
      <c r="B1109" s="5" t="s">
        <v>2854</v>
      </c>
      <c r="C1109" s="5" t="s">
        <v>34</v>
      </c>
      <c r="D1109" s="5" t="s">
        <v>35</v>
      </c>
      <c r="E1109" s="5" t="s">
        <v>25</v>
      </c>
      <c r="F1109" s="9">
        <v>45</v>
      </c>
      <c r="G1109" s="9">
        <v>537</v>
      </c>
      <c r="H1109" s="5" t="s">
        <v>20</v>
      </c>
      <c r="I1109" s="5" t="s">
        <v>2855</v>
      </c>
      <c r="J1109" s="12" t="str">
        <f>HYPERLINK("https://www.boe.es/gazeta/dias/1807/05/26/pdfs/GMD-1807-45.pdf#page=7","Abrir facsímil")</f>
        <v>Abrir facsímil</v>
      </c>
      <c r="K1109" s="15" t="s">
        <v>22</v>
      </c>
    </row>
    <row r="1110" spans="1:11" ht="42" customHeight="1">
      <c r="A1110" s="4" t="s">
        <v>2856</v>
      </c>
      <c r="B1110" s="5" t="s">
        <v>2857</v>
      </c>
      <c r="C1110" s="5" t="s">
        <v>28</v>
      </c>
      <c r="D1110" s="5" t="s">
        <v>29</v>
      </c>
      <c r="E1110" s="5" t="s">
        <v>101</v>
      </c>
      <c r="F1110" s="9">
        <v>23</v>
      </c>
      <c r="G1110" s="9">
        <v>271</v>
      </c>
      <c r="H1110" s="5" t="s">
        <v>20</v>
      </c>
      <c r="I1110" s="5" t="s">
        <v>2858</v>
      </c>
      <c r="J1110" s="12" t="str">
        <f>HYPERLINK("https://www.boe.es/gazeta/dias/1807/03/10/pdfs/GMD-1807-23.pdf#page=11","Abrir facsímil")</f>
        <v>Abrir facsímil</v>
      </c>
      <c r="K1110" s="15" t="s">
        <v>22</v>
      </c>
    </row>
    <row r="1111" spans="1:11" ht="42" customHeight="1">
      <c r="A1111" s="4" t="s">
        <v>2859</v>
      </c>
      <c r="B1111" s="5" t="s">
        <v>2860</v>
      </c>
      <c r="C1111" s="5" t="s">
        <v>28</v>
      </c>
      <c r="D1111" s="5" t="s">
        <v>29</v>
      </c>
      <c r="E1111" s="5" t="s">
        <v>91</v>
      </c>
      <c r="F1111" s="9">
        <v>109</v>
      </c>
      <c r="G1111" s="9">
        <v>1273</v>
      </c>
      <c r="H1111" s="5" t="s">
        <v>20</v>
      </c>
      <c r="I1111" s="5" t="s">
        <v>2861</v>
      </c>
      <c r="J1111" s="12" t="str">
        <f>HYPERLINK("https://www.boe.es/gazeta/dias/1807/12/08/pdfs/GMD-1807-109.pdf#page=9","Abrir facsímil")</f>
        <v>Abrir facsímil</v>
      </c>
      <c r="K1111" s="15" t="s">
        <v>22</v>
      </c>
    </row>
    <row r="1112" spans="1:11" ht="42" customHeight="1">
      <c r="A1112" s="4" t="s">
        <v>2862</v>
      </c>
      <c r="B1112" s="5" t="s">
        <v>2863</v>
      </c>
      <c r="C1112" s="5" t="s">
        <v>17</v>
      </c>
      <c r="D1112" s="5" t="s">
        <v>18</v>
      </c>
      <c r="E1112" s="5" t="s">
        <v>190</v>
      </c>
      <c r="F1112" s="9">
        <v>37</v>
      </c>
      <c r="G1112" s="9">
        <v>440</v>
      </c>
      <c r="H1112" s="5" t="s">
        <v>20</v>
      </c>
      <c r="I1112" s="5" t="s">
        <v>2864</v>
      </c>
      <c r="J1112" s="12" t="str">
        <f>HYPERLINK("https://www.boe.es/gazeta/dias/1807/04/28/pdfs/GMD-1807-37.pdf#page=8","Abrir facsímil")</f>
        <v>Abrir facsímil</v>
      </c>
      <c r="K1112" s="15" t="s">
        <v>22</v>
      </c>
    </row>
    <row r="1113" spans="1:11" ht="42" customHeight="1">
      <c r="A1113" s="4" t="s">
        <v>2865</v>
      </c>
      <c r="B1113" s="5" t="s">
        <v>2866</v>
      </c>
      <c r="C1113" s="5" t="s">
        <v>89</v>
      </c>
      <c r="D1113" s="5" t="s">
        <v>90</v>
      </c>
      <c r="E1113" s="5" t="s">
        <v>106</v>
      </c>
      <c r="F1113" s="9">
        <v>39</v>
      </c>
      <c r="G1113" s="9">
        <v>470</v>
      </c>
      <c r="H1113" s="5" t="s">
        <v>20</v>
      </c>
      <c r="I1113" s="5" t="s">
        <v>2867</v>
      </c>
      <c r="J1113" s="12" t="str">
        <f>HYPERLINK("https://www.boe.es/gazeta/dias/1807/05/05/pdfs/GMD-1807-39.pdf#page=12","Abrir facsímil")</f>
        <v>Abrir facsímil</v>
      </c>
      <c r="K1113" s="15" t="s">
        <v>22</v>
      </c>
    </row>
    <row r="1114" spans="1:11" ht="42" customHeight="1">
      <c r="A1114" s="4" t="s">
        <v>2868</v>
      </c>
      <c r="B1114" s="5" t="s">
        <v>2869</v>
      </c>
      <c r="C1114" s="5" t="s">
        <v>24</v>
      </c>
      <c r="D1114" s="5" t="s">
        <v>18</v>
      </c>
      <c r="E1114" s="5" t="s">
        <v>595</v>
      </c>
      <c r="F1114" s="9">
        <v>59</v>
      </c>
      <c r="G1114" s="9">
        <v>705</v>
      </c>
      <c r="H1114" s="5" t="s">
        <v>20</v>
      </c>
      <c r="I1114" s="5" t="s">
        <v>2870</v>
      </c>
      <c r="J1114" s="12" t="str">
        <f>HYPERLINK("https://www.boe.es/gazeta/dias/1807/07/10/pdfs/GMD-1807-59.pdf#page=11","Abrir facsímil")</f>
        <v>Abrir facsímil</v>
      </c>
      <c r="K1114" s="15" t="s">
        <v>22</v>
      </c>
    </row>
    <row r="1115" spans="1:11" ht="42" customHeight="1">
      <c r="A1115" s="4" t="s">
        <v>2871</v>
      </c>
      <c r="B1115" s="5" t="s">
        <v>2872</v>
      </c>
      <c r="C1115" s="5" t="s">
        <v>34</v>
      </c>
      <c r="D1115" s="5" t="s">
        <v>35</v>
      </c>
      <c r="E1115" s="5" t="s">
        <v>754</v>
      </c>
      <c r="F1115" s="9">
        <v>103</v>
      </c>
      <c r="G1115" s="9">
        <v>1201</v>
      </c>
      <c r="H1115" s="5" t="s">
        <v>20</v>
      </c>
      <c r="I1115" s="5" t="s">
        <v>2873</v>
      </c>
      <c r="J1115" s="12" t="str">
        <f>HYPERLINK("https://www.boe.es/gazeta/dias/1807/11/20/pdfs/GMD-1807-103.pdf#page=9","Abrir facsímil")</f>
        <v>Abrir facsímil</v>
      </c>
      <c r="K1115" s="15" t="s">
        <v>22</v>
      </c>
    </row>
    <row r="1116" spans="1:11" ht="42" customHeight="1">
      <c r="A1116" s="4" t="s">
        <v>2874</v>
      </c>
      <c r="B1116" s="5" t="s">
        <v>2875</v>
      </c>
      <c r="C1116" s="5" t="s">
        <v>34</v>
      </c>
      <c r="D1116" s="5" t="s">
        <v>35</v>
      </c>
      <c r="E1116" s="5" t="s">
        <v>471</v>
      </c>
      <c r="F1116" s="9">
        <v>51</v>
      </c>
      <c r="G1116" s="9">
        <v>606</v>
      </c>
      <c r="H1116" s="5" t="s">
        <v>20</v>
      </c>
      <c r="I1116" s="5" t="s">
        <v>2876</v>
      </c>
      <c r="J1116" s="12" t="str">
        <f>HYPERLINK("https://www.boe.es/gazeta/dias/1807/06/16/pdfs/GMD-1807-51.pdf#page=8","Abrir facsímil")</f>
        <v>Abrir facsímil</v>
      </c>
      <c r="K1116" s="15" t="s">
        <v>22</v>
      </c>
    </row>
    <row r="1117" spans="1:11" ht="42" customHeight="1">
      <c r="A1117" s="4" t="s">
        <v>2877</v>
      </c>
      <c r="B1117" s="5" t="s">
        <v>2878</v>
      </c>
      <c r="C1117" s="5" t="s">
        <v>34</v>
      </c>
      <c r="D1117" s="5" t="s">
        <v>35</v>
      </c>
      <c r="E1117" s="5" t="s">
        <v>296</v>
      </c>
      <c r="F1117" s="9">
        <v>102</v>
      </c>
      <c r="G1117" s="9">
        <v>1189</v>
      </c>
      <c r="H1117" s="5" t="s">
        <v>20</v>
      </c>
      <c r="I1117" s="5" t="s">
        <v>2879</v>
      </c>
      <c r="J1117" s="12" t="str">
        <f>HYPERLINK("https://www.boe.es/gazeta/dias/1807/11/17/pdfs/GMD-1807-102.pdf#page=9","Abrir facsímil")</f>
        <v>Abrir facsímil</v>
      </c>
      <c r="K1117" s="15" t="s">
        <v>22</v>
      </c>
    </row>
    <row r="1118" spans="1:11" ht="42" customHeight="1">
      <c r="A1118" s="4" t="s">
        <v>2880</v>
      </c>
      <c r="B1118" s="5" t="s">
        <v>2881</v>
      </c>
      <c r="C1118" s="5" t="s">
        <v>34</v>
      </c>
      <c r="D1118" s="5" t="s">
        <v>35</v>
      </c>
      <c r="E1118" s="5" t="s">
        <v>301</v>
      </c>
      <c r="F1118" s="9">
        <v>89</v>
      </c>
      <c r="G1118" s="9">
        <v>1030</v>
      </c>
      <c r="H1118" s="5" t="s">
        <v>20</v>
      </c>
      <c r="I1118" s="5" t="s">
        <v>2882</v>
      </c>
      <c r="J1118" s="12" t="str">
        <f>HYPERLINK("https://www.boe.es/gazeta/dias/1807/10/02/pdfs/GMD-1807-89.pdf#page=10","Abrir facsímil")</f>
        <v>Abrir facsímil</v>
      </c>
      <c r="K1118" s="15" t="s">
        <v>22</v>
      </c>
    </row>
    <row r="1119" spans="1:11" ht="42" customHeight="1">
      <c r="A1119" s="4" t="s">
        <v>2883</v>
      </c>
      <c r="B1119" s="5" t="s">
        <v>2884</v>
      </c>
      <c r="C1119" s="5" t="s">
        <v>34</v>
      </c>
      <c r="D1119" s="5" t="s">
        <v>35</v>
      </c>
      <c r="E1119" s="5" t="s">
        <v>754</v>
      </c>
      <c r="F1119" s="9">
        <v>103</v>
      </c>
      <c r="G1119" s="9">
        <v>1201</v>
      </c>
      <c r="H1119" s="5" t="s">
        <v>20</v>
      </c>
      <c r="I1119" s="5" t="s">
        <v>2885</v>
      </c>
      <c r="J1119" s="12" t="str">
        <f>HYPERLINK("https://www.boe.es/gazeta/dias/1807/11/20/pdfs/GMD-1807-103.pdf#page=9","Abrir facsímil")</f>
        <v>Abrir facsímil</v>
      </c>
      <c r="K1119" s="15" t="s">
        <v>22</v>
      </c>
    </row>
    <row r="1120" spans="1:11" ht="42" customHeight="1">
      <c r="A1120" s="4" t="s">
        <v>2886</v>
      </c>
      <c r="B1120" s="5" t="s">
        <v>2887</v>
      </c>
      <c r="C1120" s="5" t="s">
        <v>28</v>
      </c>
      <c r="D1120" s="5" t="s">
        <v>29</v>
      </c>
      <c r="E1120" s="5" t="s">
        <v>139</v>
      </c>
      <c r="F1120" s="9">
        <v>110</v>
      </c>
      <c r="G1120" s="9">
        <v>1286</v>
      </c>
      <c r="H1120" s="5" t="s">
        <v>20</v>
      </c>
      <c r="I1120" s="5" t="s">
        <v>2888</v>
      </c>
      <c r="J1120" s="12" t="str">
        <f>HYPERLINK("https://www.boe.es/gazeta/dias/1807/12/11/pdfs/GMD-1807-110.pdf#page=10","Abrir facsímil")</f>
        <v>Abrir facsímil</v>
      </c>
      <c r="K1120" s="15" t="s">
        <v>22</v>
      </c>
    </row>
    <row r="1121" spans="1:11" ht="42" customHeight="1">
      <c r="A1121" s="4" t="s">
        <v>2889</v>
      </c>
      <c r="B1121" s="5" t="s">
        <v>2890</v>
      </c>
      <c r="C1121" s="5" t="s">
        <v>34</v>
      </c>
      <c r="D1121" s="5" t="s">
        <v>35</v>
      </c>
      <c r="E1121" s="5" t="s">
        <v>98</v>
      </c>
      <c r="F1121" s="9">
        <v>34</v>
      </c>
      <c r="G1121" s="9">
        <v>406</v>
      </c>
      <c r="H1121" s="5" t="s">
        <v>20</v>
      </c>
      <c r="I1121" s="5" t="s">
        <v>2891</v>
      </c>
      <c r="J1121" s="12" t="str">
        <f>HYPERLINK("https://www.boe.es/gazeta/dias/1807/04/17/pdfs/GMD-1807-34.pdf#page=10","Abrir facsímil")</f>
        <v>Abrir facsímil</v>
      </c>
      <c r="K1121" s="15" t="s">
        <v>22</v>
      </c>
    </row>
    <row r="1122" spans="1:11" ht="42" customHeight="1">
      <c r="A1122" s="4" t="s">
        <v>2889</v>
      </c>
      <c r="B1122" s="5" t="s">
        <v>2890</v>
      </c>
      <c r="C1122" s="5" t="s">
        <v>34</v>
      </c>
      <c r="D1122" s="5" t="s">
        <v>35</v>
      </c>
      <c r="E1122" s="5" t="s">
        <v>91</v>
      </c>
      <c r="F1122" s="9">
        <v>109</v>
      </c>
      <c r="G1122" s="9">
        <v>1273</v>
      </c>
      <c r="H1122" s="5" t="s">
        <v>20</v>
      </c>
      <c r="I1122" s="5" t="s">
        <v>2892</v>
      </c>
      <c r="J1122" s="12" t="str">
        <f>HYPERLINK("https://www.boe.es/gazeta/dias/1807/12/08/pdfs/GMD-1807-109.pdf#page=9","Abrir facsímil")</f>
        <v>Abrir facsímil</v>
      </c>
      <c r="K1122" s="15" t="s">
        <v>22</v>
      </c>
    </row>
    <row r="1123" spans="1:11" ht="42" customHeight="1">
      <c r="A1123" s="4" t="s">
        <v>2893</v>
      </c>
      <c r="B1123" s="5" t="s">
        <v>2894</v>
      </c>
      <c r="C1123" s="5" t="s">
        <v>28</v>
      </c>
      <c r="D1123" s="5" t="s">
        <v>29</v>
      </c>
      <c r="E1123" s="5" t="s">
        <v>53</v>
      </c>
      <c r="F1123" s="9">
        <v>64</v>
      </c>
      <c r="G1123" s="9">
        <v>748</v>
      </c>
      <c r="H1123" s="5" t="s">
        <v>20</v>
      </c>
      <c r="I1123" s="5" t="s">
        <v>2895</v>
      </c>
      <c r="J1123" s="12" t="str">
        <f>HYPERLINK("https://www.boe.es/gazeta/dias/1807/07/21/pdfs/GMD-1807-64.pdf#page=10","Abrir facsímil")</f>
        <v>Abrir facsímil</v>
      </c>
      <c r="K1123" s="15" t="s">
        <v>22</v>
      </c>
    </row>
    <row r="1124" spans="1:11" ht="42" customHeight="1">
      <c r="A1124" s="4" t="s">
        <v>2896</v>
      </c>
      <c r="B1124" s="5" t="s">
        <v>2897</v>
      </c>
      <c r="C1124" s="5" t="s">
        <v>28</v>
      </c>
      <c r="D1124" s="5" t="s">
        <v>29</v>
      </c>
      <c r="E1124" s="5" t="s">
        <v>104</v>
      </c>
      <c r="F1124" s="9">
        <v>25</v>
      </c>
      <c r="G1124" s="9">
        <v>302</v>
      </c>
      <c r="H1124" s="5" t="s">
        <v>20</v>
      </c>
      <c r="I1124" s="5" t="s">
        <v>2898</v>
      </c>
      <c r="J1124" s="12" t="str">
        <f>HYPERLINK("https://www.boe.es/gazeta/dias/1807/03/17/pdfs/GMD-1807-25.pdf#page=10","Abrir facsímil")</f>
        <v>Abrir facsímil</v>
      </c>
      <c r="K1124" s="15" t="s">
        <v>22</v>
      </c>
    </row>
    <row r="1125" spans="1:11" ht="42" customHeight="1">
      <c r="A1125" s="4" t="s">
        <v>2896</v>
      </c>
      <c r="B1125" s="5" t="s">
        <v>2897</v>
      </c>
      <c r="C1125" s="5" t="s">
        <v>28</v>
      </c>
      <c r="D1125" s="5" t="s">
        <v>29</v>
      </c>
      <c r="E1125" s="5" t="s">
        <v>754</v>
      </c>
      <c r="F1125" s="9">
        <v>103</v>
      </c>
      <c r="G1125" s="9">
        <v>1203</v>
      </c>
      <c r="H1125" s="5" t="s">
        <v>20</v>
      </c>
      <c r="I1125" s="5" t="s">
        <v>2899</v>
      </c>
      <c r="J1125" s="12" t="str">
        <f>HYPERLINK("https://www.boe.es/gazeta/dias/1807/11/20/pdfs/GMD-1807-103.pdf#page=11","Abrir facsímil")</f>
        <v>Abrir facsímil</v>
      </c>
      <c r="K1125" s="15" t="s">
        <v>22</v>
      </c>
    </row>
    <row r="1126" spans="1:11" ht="42" customHeight="1">
      <c r="A1126" s="4" t="s">
        <v>2900</v>
      </c>
      <c r="B1126" s="5" t="s">
        <v>2901</v>
      </c>
      <c r="C1126" s="5" t="s">
        <v>34</v>
      </c>
      <c r="D1126" s="5" t="s">
        <v>35</v>
      </c>
      <c r="E1126" s="5" t="s">
        <v>46</v>
      </c>
      <c r="F1126" s="9">
        <v>78</v>
      </c>
      <c r="G1126" s="9">
        <v>908</v>
      </c>
      <c r="H1126" s="5" t="s">
        <v>20</v>
      </c>
      <c r="I1126" s="5" t="s">
        <v>2902</v>
      </c>
      <c r="J1126" s="12" t="str">
        <f>HYPERLINK("https://www.boe.es/gazeta/dias/1807/09/01/pdfs/GMD-1807-78.pdf#page=12","Abrir facsímil")</f>
        <v>Abrir facsímil</v>
      </c>
      <c r="K1126" s="15" t="s">
        <v>22</v>
      </c>
    </row>
    <row r="1127" spans="1:11" ht="42" customHeight="1">
      <c r="A1127" s="4" t="s">
        <v>2903</v>
      </c>
      <c r="B1127" s="5" t="s">
        <v>2904</v>
      </c>
      <c r="C1127" s="5" t="s">
        <v>28</v>
      </c>
      <c r="D1127" s="5" t="s">
        <v>29</v>
      </c>
      <c r="E1127" s="5" t="s">
        <v>127</v>
      </c>
      <c r="F1127" s="9">
        <v>81</v>
      </c>
      <c r="G1127" s="9">
        <v>945</v>
      </c>
      <c r="H1127" s="5" t="s">
        <v>20</v>
      </c>
      <c r="I1127" s="5" t="s">
        <v>2905</v>
      </c>
      <c r="J1127" s="12" t="str">
        <f>HYPERLINK("https://www.boe.es/gazeta/dias/1807/09/11/pdfs/GMD-1807-81.pdf#page=9","Abrir facsímil")</f>
        <v>Abrir facsímil</v>
      </c>
      <c r="K1127" s="15" t="s">
        <v>22</v>
      </c>
    </row>
    <row r="1128" spans="1:11" ht="42" customHeight="1">
      <c r="A1128" s="4" t="s">
        <v>2906</v>
      </c>
      <c r="B1128" s="5" t="s">
        <v>2907</v>
      </c>
      <c r="C1128" s="5" t="s">
        <v>24</v>
      </c>
      <c r="D1128" s="5" t="s">
        <v>18</v>
      </c>
      <c r="E1128" s="5" t="s">
        <v>595</v>
      </c>
      <c r="F1128" s="9">
        <v>59</v>
      </c>
      <c r="G1128" s="9">
        <v>703</v>
      </c>
      <c r="H1128" s="5" t="s">
        <v>20</v>
      </c>
      <c r="I1128" s="5" t="s">
        <v>2908</v>
      </c>
      <c r="J1128" s="12" t="str">
        <f>HYPERLINK("https://www.boe.es/gazeta/dias/1807/07/10/pdfs/GMD-1807-59.pdf#page=9","Abrir facsímil")</f>
        <v>Abrir facsímil</v>
      </c>
      <c r="K1128" s="15" t="s">
        <v>22</v>
      </c>
    </row>
    <row r="1129" spans="1:11" ht="42" customHeight="1">
      <c r="A1129" s="4" t="s">
        <v>2909</v>
      </c>
      <c r="B1129" s="5" t="s">
        <v>2910</v>
      </c>
      <c r="C1129" s="5" t="s">
        <v>24</v>
      </c>
      <c r="D1129" s="5" t="s">
        <v>18</v>
      </c>
      <c r="E1129" s="5" t="s">
        <v>111</v>
      </c>
      <c r="F1129" s="9">
        <v>90</v>
      </c>
      <c r="G1129" s="9">
        <v>1047</v>
      </c>
      <c r="H1129" s="5" t="s">
        <v>20</v>
      </c>
      <c r="I1129" s="5" t="s">
        <v>2911</v>
      </c>
      <c r="J1129" s="12" t="str">
        <f>HYPERLINK("https://www.boe.es/gazeta/dias/1807/10/06/pdfs/GMD-1807-90.pdf#page=15","Abrir facsímil")</f>
        <v>Abrir facsímil</v>
      </c>
      <c r="K1129" s="15" t="s">
        <v>22</v>
      </c>
    </row>
    <row r="1130" spans="1:11" ht="42" customHeight="1">
      <c r="A1130" s="4" t="s">
        <v>2912</v>
      </c>
      <c r="B1130" s="5" t="s">
        <v>2913</v>
      </c>
      <c r="C1130" s="5" t="s">
        <v>17</v>
      </c>
      <c r="D1130" s="5" t="s">
        <v>18</v>
      </c>
      <c r="E1130" s="5" t="s">
        <v>2914</v>
      </c>
      <c r="F1130" s="9">
        <v>29</v>
      </c>
      <c r="G1130" s="9">
        <v>348</v>
      </c>
      <c r="H1130" s="5" t="s">
        <v>20</v>
      </c>
      <c r="I1130" s="5" t="s">
        <v>2915</v>
      </c>
      <c r="J1130" s="12" t="str">
        <f>HYPERLINK("https://www.boe.es/gazeta/dias/1807/03/31/pdfs/GMD-1807-29.pdf#page=12","Abrir facsímil")</f>
        <v>Abrir facsímil</v>
      </c>
      <c r="K1130" s="15" t="s">
        <v>22</v>
      </c>
    </row>
    <row r="1131" spans="1:11" ht="42" customHeight="1">
      <c r="A1131" s="4" t="s">
        <v>2916</v>
      </c>
      <c r="B1131" s="5" t="s">
        <v>2917</v>
      </c>
      <c r="C1131" s="5" t="s">
        <v>28</v>
      </c>
      <c r="D1131" s="5" t="s">
        <v>29</v>
      </c>
      <c r="E1131" s="5" t="s">
        <v>572</v>
      </c>
      <c r="F1131" s="9">
        <v>14</v>
      </c>
      <c r="G1131" s="9">
        <v>163</v>
      </c>
      <c r="H1131" s="5" t="s">
        <v>20</v>
      </c>
      <c r="I1131" s="5" t="s">
        <v>2918</v>
      </c>
      <c r="J1131" s="12" t="str">
        <f>HYPERLINK("https://www.boe.es/gazeta/dias/1807/02/10/pdfs/GMD-1807-14.pdf#page=11","Abrir facsímil")</f>
        <v>Abrir facsímil</v>
      </c>
      <c r="K1131" s="15" t="s">
        <v>22</v>
      </c>
    </row>
    <row r="1132" spans="1:11" ht="42" customHeight="1">
      <c r="A1132" s="4" t="s">
        <v>2919</v>
      </c>
      <c r="B1132" s="5" t="s">
        <v>2920</v>
      </c>
      <c r="C1132" s="5" t="s">
        <v>28</v>
      </c>
      <c r="D1132" s="5" t="s">
        <v>29</v>
      </c>
      <c r="E1132" s="5" t="s">
        <v>179</v>
      </c>
      <c r="F1132" s="9">
        <v>100</v>
      </c>
      <c r="G1132" s="9">
        <v>1165</v>
      </c>
      <c r="H1132" s="5" t="s">
        <v>20</v>
      </c>
      <c r="I1132" s="5" t="s">
        <v>2921</v>
      </c>
      <c r="J1132" s="12" t="str">
        <f>HYPERLINK("https://www.boe.es/gazeta/dias/1807/11/10/pdfs/GMD-1807-100.pdf#page=9","Abrir facsímil")</f>
        <v>Abrir facsímil</v>
      </c>
      <c r="K1132" s="15" t="s">
        <v>22</v>
      </c>
    </row>
    <row r="1133" spans="1:11" ht="42" customHeight="1">
      <c r="A1133" s="4" t="s">
        <v>2922</v>
      </c>
      <c r="B1133" s="5" t="s">
        <v>2923</v>
      </c>
      <c r="C1133" s="5" t="s">
        <v>34</v>
      </c>
      <c r="D1133" s="5" t="s">
        <v>35</v>
      </c>
      <c r="E1133" s="5" t="s">
        <v>36</v>
      </c>
      <c r="F1133" s="9">
        <v>36</v>
      </c>
      <c r="G1133" s="9">
        <v>430</v>
      </c>
      <c r="H1133" s="5" t="s">
        <v>20</v>
      </c>
      <c r="I1133" s="5" t="s">
        <v>2924</v>
      </c>
      <c r="J1133" s="12" t="str">
        <f>HYPERLINK("https://www.boe.es/gazeta/dias/1807/04/24/pdfs/GMD-1807-36.pdf#page=10","Abrir facsímil")</f>
        <v>Abrir facsímil</v>
      </c>
      <c r="K1133" s="15" t="s">
        <v>22</v>
      </c>
    </row>
    <row r="1134" spans="1:11" ht="42" customHeight="1">
      <c r="A1134" s="4" t="s">
        <v>2925</v>
      </c>
      <c r="B1134" s="5" t="s">
        <v>2926</v>
      </c>
      <c r="C1134" s="5" t="s">
        <v>34</v>
      </c>
      <c r="D1134" s="5" t="s">
        <v>35</v>
      </c>
      <c r="E1134" s="5" t="s">
        <v>282</v>
      </c>
      <c r="F1134" s="9">
        <v>16</v>
      </c>
      <c r="G1134" s="9">
        <v>185</v>
      </c>
      <c r="H1134" s="5" t="s">
        <v>20</v>
      </c>
      <c r="I1134" s="5" t="s">
        <v>2927</v>
      </c>
      <c r="J1134" s="12" t="str">
        <f>HYPERLINK("https://www.boe.es/gazeta/dias/1807/02/17/pdfs/GMD-1807-16.pdf#page=9","Abrir facsímil")</f>
        <v>Abrir facsímil</v>
      </c>
      <c r="K1134" s="15" t="s">
        <v>22</v>
      </c>
    </row>
    <row r="1135" spans="1:11" ht="42" customHeight="1">
      <c r="A1135" s="4" t="s">
        <v>2928</v>
      </c>
      <c r="B1135" s="5" t="s">
        <v>2929</v>
      </c>
      <c r="C1135" s="5" t="s">
        <v>17</v>
      </c>
      <c r="D1135" s="5" t="s">
        <v>18</v>
      </c>
      <c r="E1135" s="5" t="s">
        <v>666</v>
      </c>
      <c r="F1135" s="9">
        <v>43</v>
      </c>
      <c r="G1135" s="9">
        <v>515</v>
      </c>
      <c r="H1135" s="5" t="s">
        <v>20</v>
      </c>
      <c r="I1135" s="5" t="s">
        <v>2930</v>
      </c>
      <c r="J1135" s="12" t="str">
        <f>HYPERLINK("https://www.boe.es/gazeta/dias/1807/05/19/pdfs/GMD-1807-43.pdf#page=9","Abrir facsímil")</f>
        <v>Abrir facsímil</v>
      </c>
      <c r="K1135" s="15" t="s">
        <v>22</v>
      </c>
    </row>
    <row r="1136" spans="1:11" ht="42" customHeight="1">
      <c r="A1136" s="4" t="s">
        <v>2931</v>
      </c>
      <c r="B1136" s="5" t="s">
        <v>2932</v>
      </c>
      <c r="C1136" s="5" t="s">
        <v>89</v>
      </c>
      <c r="D1136" s="5" t="s">
        <v>90</v>
      </c>
      <c r="E1136" s="5" t="s">
        <v>595</v>
      </c>
      <c r="F1136" s="9">
        <v>59</v>
      </c>
      <c r="G1136" s="9">
        <v>706</v>
      </c>
      <c r="H1136" s="5" t="s">
        <v>20</v>
      </c>
      <c r="I1136" s="5" t="s">
        <v>2933</v>
      </c>
      <c r="J1136" s="12" t="str">
        <f>HYPERLINK("https://www.boe.es/gazeta/dias/1807/07/10/pdfs/GMD-1807-59.pdf#page=12","Abrir facsímil")</f>
        <v>Abrir facsímil</v>
      </c>
      <c r="K1136" s="15" t="s">
        <v>22</v>
      </c>
    </row>
    <row r="1137" spans="1:11" ht="42" customHeight="1">
      <c r="A1137" s="4" t="s">
        <v>2934</v>
      </c>
      <c r="B1137" s="5" t="s">
        <v>2935</v>
      </c>
      <c r="C1137" s="5" t="s">
        <v>24</v>
      </c>
      <c r="D1137" s="5" t="s">
        <v>18</v>
      </c>
      <c r="E1137" s="5" t="s">
        <v>447</v>
      </c>
      <c r="F1137" s="9">
        <v>65</v>
      </c>
      <c r="G1137" s="9">
        <v>760</v>
      </c>
      <c r="H1137" s="5" t="s">
        <v>20</v>
      </c>
      <c r="I1137" s="5" t="s">
        <v>2936</v>
      </c>
      <c r="J1137" s="12" t="str">
        <f>HYPERLINK("https://www.boe.es/gazeta/dias/1807/07/24/pdfs/GMD-1807-65.pdf#page=10","Abrir facsímil")</f>
        <v>Abrir facsímil</v>
      </c>
      <c r="K1137" s="15" t="s">
        <v>22</v>
      </c>
    </row>
    <row r="1138" spans="1:11" ht="42" customHeight="1">
      <c r="A1138" s="4" t="s">
        <v>2937</v>
      </c>
      <c r="B1138" s="5" t="s">
        <v>2938</v>
      </c>
      <c r="C1138" s="5" t="s">
        <v>17</v>
      </c>
      <c r="D1138" s="5" t="s">
        <v>18</v>
      </c>
      <c r="E1138" s="5" t="s">
        <v>441</v>
      </c>
      <c r="F1138" s="9">
        <v>92</v>
      </c>
      <c r="G1138" s="9">
        <v>1068</v>
      </c>
      <c r="H1138" s="5" t="s">
        <v>20</v>
      </c>
      <c r="I1138" s="5" t="s">
        <v>2939</v>
      </c>
      <c r="J1138" s="12" t="str">
        <f>HYPERLINK("https://www.boe.es/gazeta/dias/1807/10/13/pdfs/GMD-1807-92.pdf#page=8","Abrir facsímil")</f>
        <v>Abrir facsímil</v>
      </c>
      <c r="K1138" s="15" t="s">
        <v>22</v>
      </c>
    </row>
    <row r="1139" spans="1:11" ht="42" customHeight="1">
      <c r="A1139" s="4" t="s">
        <v>2940</v>
      </c>
      <c r="B1139" s="5" t="s">
        <v>2941</v>
      </c>
      <c r="C1139" s="5" t="s">
        <v>34</v>
      </c>
      <c r="D1139" s="5" t="s">
        <v>35</v>
      </c>
      <c r="E1139" s="5" t="s">
        <v>42</v>
      </c>
      <c r="F1139" s="9">
        <v>31</v>
      </c>
      <c r="G1139" s="9">
        <v>368</v>
      </c>
      <c r="H1139" s="5" t="s">
        <v>20</v>
      </c>
      <c r="I1139" s="5" t="s">
        <v>2942</v>
      </c>
      <c r="J1139" s="12" t="str">
        <f>HYPERLINK("https://www.boe.es/gazeta/dias/1807/04/07/pdfs/GMD-1807-31.pdf#page=8","Abrir facsímil")</f>
        <v>Abrir facsímil</v>
      </c>
      <c r="K1139" s="15" t="s">
        <v>22</v>
      </c>
    </row>
    <row r="1140" spans="1:11" ht="42" customHeight="1">
      <c r="A1140" s="4" t="s">
        <v>2943</v>
      </c>
      <c r="B1140" s="5" t="s">
        <v>2944</v>
      </c>
      <c r="C1140" s="5" t="s">
        <v>34</v>
      </c>
      <c r="D1140" s="5" t="s">
        <v>35</v>
      </c>
      <c r="E1140" s="5" t="s">
        <v>208</v>
      </c>
      <c r="F1140" s="9">
        <v>42</v>
      </c>
      <c r="G1140" s="9">
        <v>501</v>
      </c>
      <c r="H1140" s="5" t="s">
        <v>20</v>
      </c>
      <c r="I1140" s="5" t="s">
        <v>2945</v>
      </c>
      <c r="J1140" s="12" t="str">
        <f>HYPERLINK("https://www.boe.es/gazeta/dias/1807/05/15/pdfs/GMD-1807-42.pdf#page=7","Abrir facsímil")</f>
        <v>Abrir facsímil</v>
      </c>
      <c r="K1140" s="15" t="s">
        <v>22</v>
      </c>
    </row>
    <row r="1141" spans="1:11" ht="42" customHeight="1">
      <c r="A1141" s="4" t="s">
        <v>2946</v>
      </c>
      <c r="B1141" s="5" t="s">
        <v>2947</v>
      </c>
      <c r="C1141" s="5" t="s">
        <v>34</v>
      </c>
      <c r="D1141" s="5" t="s">
        <v>35</v>
      </c>
      <c r="E1141" s="5" t="s">
        <v>595</v>
      </c>
      <c r="F1141" s="9">
        <v>59</v>
      </c>
      <c r="G1141" s="9">
        <v>706</v>
      </c>
      <c r="H1141" s="5" t="s">
        <v>20</v>
      </c>
      <c r="I1141" s="5" t="s">
        <v>2948</v>
      </c>
      <c r="J1141" s="12" t="str">
        <f>HYPERLINK("https://www.boe.es/gazeta/dias/1807/07/10/pdfs/GMD-1807-59.pdf#page=12","Abrir facsímil")</f>
        <v>Abrir facsímil</v>
      </c>
      <c r="K1141" s="15" t="s">
        <v>22</v>
      </c>
    </row>
    <row r="1142" spans="1:11" ht="42" customHeight="1">
      <c r="A1142" s="4" t="s">
        <v>2949</v>
      </c>
      <c r="B1142" s="5" t="s">
        <v>2950</v>
      </c>
      <c r="C1142" s="5" t="s">
        <v>24</v>
      </c>
      <c r="D1142" s="5" t="s">
        <v>18</v>
      </c>
      <c r="E1142" s="5" t="s">
        <v>208</v>
      </c>
      <c r="F1142" s="9">
        <v>42</v>
      </c>
      <c r="G1142" s="9">
        <v>503</v>
      </c>
      <c r="H1142" s="5" t="s">
        <v>20</v>
      </c>
      <c r="I1142" s="5" t="s">
        <v>2951</v>
      </c>
      <c r="J1142" s="12" t="str">
        <f>HYPERLINK("https://www.boe.es/gazeta/dias/1807/05/15/pdfs/GMD-1807-42.pdf#page=9","Abrir facsímil")</f>
        <v>Abrir facsímil</v>
      </c>
      <c r="K1142" s="15" t="s">
        <v>22</v>
      </c>
    </row>
    <row r="1143" spans="1:11" ht="42" customHeight="1">
      <c r="A1143" s="4" t="s">
        <v>2949</v>
      </c>
      <c r="B1143" s="5" t="s">
        <v>2950</v>
      </c>
      <c r="C1143" s="5" t="s">
        <v>24</v>
      </c>
      <c r="D1143" s="5" t="s">
        <v>18</v>
      </c>
      <c r="E1143" s="5" t="s">
        <v>114</v>
      </c>
      <c r="F1143" s="9">
        <v>46</v>
      </c>
      <c r="G1143" s="9">
        <v>552</v>
      </c>
      <c r="H1143" s="5" t="s">
        <v>20</v>
      </c>
      <c r="I1143" s="5" t="s">
        <v>2952</v>
      </c>
      <c r="J1143" s="12" t="str">
        <f>HYPERLINK("https://www.boe.es/gazeta/dias/1807/05/29/pdfs/GMD-1807-46.pdf#page=10","Abrir facsímil")</f>
        <v>Abrir facsímil</v>
      </c>
      <c r="K1143" s="15" t="s">
        <v>22</v>
      </c>
    </row>
    <row r="1144" spans="1:11" ht="42" customHeight="1">
      <c r="A1144" s="4" t="s">
        <v>2953</v>
      </c>
      <c r="B1144" s="5" t="s">
        <v>2954</v>
      </c>
      <c r="C1144" s="5" t="s">
        <v>24</v>
      </c>
      <c r="D1144" s="5" t="s">
        <v>18</v>
      </c>
      <c r="E1144" s="5" t="s">
        <v>245</v>
      </c>
      <c r="F1144" s="9">
        <v>97</v>
      </c>
      <c r="G1144" s="9">
        <v>1131</v>
      </c>
      <c r="H1144" s="5" t="s">
        <v>20</v>
      </c>
      <c r="I1144" s="5" t="s">
        <v>2955</v>
      </c>
      <c r="J1144" s="12" t="str">
        <f>HYPERLINK("https://www.boe.es/gazeta/dias/1807/10/30/pdfs/GMD-1807-97.pdf#page=11","Abrir facsímil")</f>
        <v>Abrir facsímil</v>
      </c>
      <c r="K1144" s="15" t="s">
        <v>22</v>
      </c>
    </row>
    <row r="1145" spans="1:11" ht="42" customHeight="1">
      <c r="A1145" s="4" t="s">
        <v>2956</v>
      </c>
      <c r="B1145" s="5" t="s">
        <v>2957</v>
      </c>
      <c r="C1145" s="5" t="s">
        <v>24</v>
      </c>
      <c r="D1145" s="5" t="s">
        <v>18</v>
      </c>
      <c r="E1145" s="5" t="s">
        <v>65</v>
      </c>
      <c r="F1145" s="9">
        <v>52</v>
      </c>
      <c r="G1145" s="9">
        <v>623</v>
      </c>
      <c r="H1145" s="5" t="s">
        <v>20</v>
      </c>
      <c r="I1145" s="5" t="s">
        <v>2958</v>
      </c>
      <c r="J1145" s="12" t="str">
        <f>HYPERLINK("https://www.boe.es/gazeta/dias/1807/06/19/pdfs/GMD-1807-52.pdf#page=13","Abrir facsímil")</f>
        <v>Abrir facsímil</v>
      </c>
      <c r="K1145" s="15" t="s">
        <v>22</v>
      </c>
    </row>
    <row r="1146" spans="1:11" ht="42" customHeight="1">
      <c r="A1146" s="4" t="s">
        <v>2959</v>
      </c>
      <c r="B1146" s="5" t="s">
        <v>2960</v>
      </c>
      <c r="C1146" s="5" t="s">
        <v>28</v>
      </c>
      <c r="D1146" s="5" t="s">
        <v>29</v>
      </c>
      <c r="E1146" s="5" t="s">
        <v>215</v>
      </c>
      <c r="F1146" s="9">
        <v>5</v>
      </c>
      <c r="G1146" s="9">
        <v>51</v>
      </c>
      <c r="H1146" s="5" t="s">
        <v>20</v>
      </c>
      <c r="I1146" s="5" t="s">
        <v>2961</v>
      </c>
      <c r="J1146" s="12" t="str">
        <f>HYPERLINK("https://www.boe.es/gazeta/dias/1807/01/16/pdfs/GMD-1807-5.pdf#page=7","Abrir facsímil")</f>
        <v>Abrir facsímil</v>
      </c>
      <c r="K1146" s="15" t="s">
        <v>22</v>
      </c>
    </row>
    <row r="1147" spans="1:11" ht="42" customHeight="1">
      <c r="A1147" s="4" t="s">
        <v>2962</v>
      </c>
      <c r="B1147" s="5" t="s">
        <v>2963</v>
      </c>
      <c r="C1147" s="5" t="s">
        <v>28</v>
      </c>
      <c r="D1147" s="5" t="s">
        <v>29</v>
      </c>
      <c r="E1147" s="5" t="s">
        <v>179</v>
      </c>
      <c r="F1147" s="9">
        <v>100</v>
      </c>
      <c r="G1147" s="9">
        <v>1164</v>
      </c>
      <c r="H1147" s="5" t="s">
        <v>20</v>
      </c>
      <c r="I1147" s="5" t="s">
        <v>2964</v>
      </c>
      <c r="J1147" s="12" t="str">
        <f>HYPERLINK("https://www.boe.es/gazeta/dias/1807/11/10/pdfs/GMD-1807-100.pdf#page=8","Abrir facsímil")</f>
        <v>Abrir facsímil</v>
      </c>
      <c r="K1147" s="15" t="s">
        <v>22</v>
      </c>
    </row>
    <row r="1148" spans="1:11" ht="42" customHeight="1">
      <c r="A1148" s="4" t="s">
        <v>2965</v>
      </c>
      <c r="B1148" s="5" t="s">
        <v>2966</v>
      </c>
      <c r="C1148" s="5" t="s">
        <v>28</v>
      </c>
      <c r="D1148" s="5" t="s">
        <v>29</v>
      </c>
      <c r="E1148" s="5" t="s">
        <v>46</v>
      </c>
      <c r="F1148" s="9">
        <v>78</v>
      </c>
      <c r="G1148" s="9">
        <v>905</v>
      </c>
      <c r="H1148" s="5" t="s">
        <v>20</v>
      </c>
      <c r="I1148" s="5" t="s">
        <v>2967</v>
      </c>
      <c r="J1148" s="12" t="str">
        <f>HYPERLINK("https://www.boe.es/gazeta/dias/1807/09/01/pdfs/GMD-1807-78.pdf#page=9","Abrir facsímil")</f>
        <v>Abrir facsímil</v>
      </c>
      <c r="K1148" s="15" t="s">
        <v>22</v>
      </c>
    </row>
    <row r="1149" spans="1:11" ht="42" customHeight="1">
      <c r="A1149" s="4" t="s">
        <v>2968</v>
      </c>
      <c r="B1149" s="5" t="s">
        <v>2969</v>
      </c>
      <c r="C1149" s="5" t="s">
        <v>28</v>
      </c>
      <c r="D1149" s="5" t="s">
        <v>29</v>
      </c>
      <c r="E1149" s="5" t="s">
        <v>666</v>
      </c>
      <c r="F1149" s="9">
        <v>43</v>
      </c>
      <c r="G1149" s="9">
        <v>515</v>
      </c>
      <c r="H1149" s="5" t="s">
        <v>20</v>
      </c>
      <c r="I1149" s="5" t="s">
        <v>2970</v>
      </c>
      <c r="J1149" s="12" t="str">
        <f>HYPERLINK("https://www.boe.es/gazeta/dias/1807/05/19/pdfs/GMD-1807-43.pdf#page=9","Abrir facsímil")</f>
        <v>Abrir facsímil</v>
      </c>
      <c r="K1149" s="15" t="s">
        <v>22</v>
      </c>
    </row>
    <row r="1150" spans="1:11" ht="42" customHeight="1">
      <c r="A1150" s="4" t="s">
        <v>2971</v>
      </c>
      <c r="B1150" s="5" t="s">
        <v>2972</v>
      </c>
      <c r="C1150" s="5" t="s">
        <v>28</v>
      </c>
      <c r="D1150" s="5" t="s">
        <v>29</v>
      </c>
      <c r="E1150" s="5" t="s">
        <v>42</v>
      </c>
      <c r="F1150" s="9">
        <v>31</v>
      </c>
      <c r="G1150" s="9">
        <v>367</v>
      </c>
      <c r="H1150" s="5" t="s">
        <v>20</v>
      </c>
      <c r="I1150" s="5" t="s">
        <v>2973</v>
      </c>
      <c r="J1150" s="12" t="str">
        <f>HYPERLINK("https://www.boe.es/gazeta/dias/1807/04/07/pdfs/GMD-1807-31.pdf#page=7","Abrir facsímil")</f>
        <v>Abrir facsímil</v>
      </c>
      <c r="K1150" s="15" t="s">
        <v>22</v>
      </c>
    </row>
    <row r="1151" spans="1:11" ht="42" customHeight="1">
      <c r="A1151" s="4" t="s">
        <v>2971</v>
      </c>
      <c r="B1151" s="5" t="s">
        <v>2972</v>
      </c>
      <c r="C1151" s="5" t="s">
        <v>28</v>
      </c>
      <c r="D1151" s="5" t="s">
        <v>29</v>
      </c>
      <c r="E1151" s="5" t="s">
        <v>186</v>
      </c>
      <c r="F1151" s="9">
        <v>72</v>
      </c>
      <c r="G1151" s="9">
        <v>828</v>
      </c>
      <c r="H1151" s="5" t="s">
        <v>20</v>
      </c>
      <c r="I1151" s="5" t="s">
        <v>2974</v>
      </c>
      <c r="J1151" s="12" t="str">
        <f>HYPERLINK("https://www.boe.es/gazeta/dias/1807/08/11/pdfs/GMD-1807-72.pdf#page=8","Abrir facsímil")</f>
        <v>Abrir facsímil</v>
      </c>
      <c r="K1151" s="15" t="s">
        <v>22</v>
      </c>
    </row>
    <row r="1152" spans="1:11" ht="42" customHeight="1">
      <c r="A1152" s="4" t="s">
        <v>2975</v>
      </c>
      <c r="B1152" s="5" t="s">
        <v>2976</v>
      </c>
      <c r="C1152" s="5" t="s">
        <v>34</v>
      </c>
      <c r="D1152" s="5" t="s">
        <v>35</v>
      </c>
      <c r="E1152" s="5" t="s">
        <v>266</v>
      </c>
      <c r="F1152" s="9">
        <v>67</v>
      </c>
      <c r="G1152" s="9">
        <v>773</v>
      </c>
      <c r="H1152" s="5" t="s">
        <v>20</v>
      </c>
      <c r="I1152" s="5" t="s">
        <v>2977</v>
      </c>
      <c r="J1152" s="12" t="str">
        <f>HYPERLINK("https://www.boe.es/gazeta/dias/1807/07/28/pdfs/GMD-1807-67.pdf#page=9","Abrir facsímil")</f>
        <v>Abrir facsímil</v>
      </c>
      <c r="K1152" s="15" t="s">
        <v>22</v>
      </c>
    </row>
    <row r="1153" spans="1:11" ht="42" customHeight="1">
      <c r="A1153" s="4" t="s">
        <v>2978</v>
      </c>
      <c r="B1153" s="5" t="s">
        <v>2979</v>
      </c>
      <c r="C1153" s="5" t="s">
        <v>34</v>
      </c>
      <c r="D1153" s="5" t="s">
        <v>35</v>
      </c>
      <c r="E1153" s="5" t="s">
        <v>595</v>
      </c>
      <c r="F1153" s="9">
        <v>59</v>
      </c>
      <c r="G1153" s="9">
        <v>702</v>
      </c>
      <c r="H1153" s="5" t="s">
        <v>20</v>
      </c>
      <c r="I1153" s="5" t="s">
        <v>2980</v>
      </c>
      <c r="J1153" s="12" t="str">
        <f>HYPERLINK("https://www.boe.es/gazeta/dias/1807/07/10/pdfs/GMD-1807-59.pdf#page=8","Abrir facsímil")</f>
        <v>Abrir facsímil</v>
      </c>
      <c r="K1153" s="15" t="s">
        <v>22</v>
      </c>
    </row>
    <row r="1154" spans="1:11" ht="42" customHeight="1">
      <c r="A1154" s="4" t="s">
        <v>2981</v>
      </c>
      <c r="B1154" s="5" t="s">
        <v>2982</v>
      </c>
      <c r="C1154" s="5" t="s">
        <v>34</v>
      </c>
      <c r="D1154" s="5" t="s">
        <v>35</v>
      </c>
      <c r="E1154" s="5" t="s">
        <v>79</v>
      </c>
      <c r="F1154" s="9">
        <v>11</v>
      </c>
      <c r="G1154" s="9">
        <v>124</v>
      </c>
      <c r="H1154" s="5" t="s">
        <v>20</v>
      </c>
      <c r="I1154" s="5" t="s">
        <v>2983</v>
      </c>
      <c r="J1154" s="12" t="str">
        <f>HYPERLINK("https://www.boe.es/gazeta/dias/1807/01/30/pdfs/GMD-1807-11.pdf#page=8","Abrir facsímil")</f>
        <v>Abrir facsímil</v>
      </c>
      <c r="K1154" s="15" t="s">
        <v>22</v>
      </c>
    </row>
    <row r="1155" spans="1:11" ht="42" customHeight="1">
      <c r="A1155" s="4" t="s">
        <v>2984</v>
      </c>
      <c r="B1155" s="5" t="s">
        <v>2985</v>
      </c>
      <c r="C1155" s="5" t="s">
        <v>28</v>
      </c>
      <c r="D1155" s="5" t="s">
        <v>29</v>
      </c>
      <c r="E1155" s="5" t="s">
        <v>595</v>
      </c>
      <c r="F1155" s="9">
        <v>59</v>
      </c>
      <c r="G1155" s="9">
        <v>701</v>
      </c>
      <c r="H1155" s="5" t="s">
        <v>20</v>
      </c>
      <c r="I1155" s="5" t="s">
        <v>2986</v>
      </c>
      <c r="J1155" s="12" t="str">
        <f>HYPERLINK("https://www.boe.es/gazeta/dias/1807/07/10/pdfs/GMD-1807-59.pdf#page=7","Abrir facsímil")</f>
        <v>Abrir facsímil</v>
      </c>
      <c r="K1155" s="15" t="s">
        <v>22</v>
      </c>
    </row>
    <row r="1156" spans="1:11" ht="42" customHeight="1">
      <c r="A1156" s="4" t="s">
        <v>2987</v>
      </c>
      <c r="B1156" s="5" t="s">
        <v>2988</v>
      </c>
      <c r="C1156" s="5" t="s">
        <v>17</v>
      </c>
      <c r="D1156" s="5" t="s">
        <v>18</v>
      </c>
      <c r="E1156" s="5" t="s">
        <v>754</v>
      </c>
      <c r="F1156" s="9">
        <v>103</v>
      </c>
      <c r="G1156" s="9">
        <v>1201</v>
      </c>
      <c r="H1156" s="5" t="s">
        <v>20</v>
      </c>
      <c r="I1156" s="5" t="s">
        <v>2989</v>
      </c>
      <c r="J1156" s="12" t="str">
        <f>HYPERLINK("https://www.boe.es/gazeta/dias/1807/11/20/pdfs/GMD-1807-103.pdf#page=9","Abrir facsímil")</f>
        <v>Abrir facsímil</v>
      </c>
      <c r="K1156" s="15" t="s">
        <v>22</v>
      </c>
    </row>
    <row r="1157" spans="1:11" ht="42" customHeight="1">
      <c r="A1157" s="4" t="s">
        <v>2990</v>
      </c>
      <c r="B1157" s="5" t="s">
        <v>2991</v>
      </c>
      <c r="C1157" s="5" t="s">
        <v>17</v>
      </c>
      <c r="D1157" s="5" t="s">
        <v>18</v>
      </c>
      <c r="E1157" s="5" t="s">
        <v>275</v>
      </c>
      <c r="F1157" s="9">
        <v>104</v>
      </c>
      <c r="G1157" s="9">
        <v>1213</v>
      </c>
      <c r="H1157" s="5" t="s">
        <v>20</v>
      </c>
      <c r="I1157" s="5" t="s">
        <v>2992</v>
      </c>
      <c r="J1157" s="12" t="str">
        <f>HYPERLINK("https://www.boe.es/gazeta/dias/1807/11/24/pdfs/GMD-1807-104.pdf#page=9","Abrir facsímil")</f>
        <v>Abrir facsímil</v>
      </c>
      <c r="K1157" s="15" t="s">
        <v>22</v>
      </c>
    </row>
    <row r="1158" spans="1:11" ht="42" customHeight="1">
      <c r="A1158" s="4" t="s">
        <v>2993</v>
      </c>
      <c r="B1158" s="5" t="s">
        <v>2994</v>
      </c>
      <c r="C1158" s="5" t="s">
        <v>34</v>
      </c>
      <c r="D1158" s="5" t="s">
        <v>35</v>
      </c>
      <c r="E1158" s="5" t="s">
        <v>98</v>
      </c>
      <c r="F1158" s="9">
        <v>34</v>
      </c>
      <c r="G1158" s="9">
        <v>407</v>
      </c>
      <c r="H1158" s="5" t="s">
        <v>20</v>
      </c>
      <c r="I1158" s="5" t="s">
        <v>2995</v>
      </c>
      <c r="J1158" s="12" t="str">
        <f>HYPERLINK("https://www.boe.es/gazeta/dias/1807/04/17/pdfs/GMD-1807-34.pdf#page=11","Abrir facsímil")</f>
        <v>Abrir facsímil</v>
      </c>
      <c r="K1158" s="15" t="s">
        <v>22</v>
      </c>
    </row>
    <row r="1159" spans="1:11" ht="42" customHeight="1">
      <c r="A1159" s="4" t="s">
        <v>2996</v>
      </c>
      <c r="B1159" s="5" t="s">
        <v>2997</v>
      </c>
      <c r="C1159" s="5" t="s">
        <v>28</v>
      </c>
      <c r="D1159" s="5" t="s">
        <v>29</v>
      </c>
      <c r="E1159" s="5" t="s">
        <v>215</v>
      </c>
      <c r="F1159" s="9">
        <v>5</v>
      </c>
      <c r="G1159" s="9">
        <v>47</v>
      </c>
      <c r="H1159" s="5" t="s">
        <v>20</v>
      </c>
      <c r="I1159" s="5" t="s">
        <v>2998</v>
      </c>
      <c r="J1159" s="12" t="str">
        <f>HYPERLINK("https://www.boe.es/gazeta/dias/1807/01/16/pdfs/GMD-1807-5.pdf#page=3","Abrir facsímil")</f>
        <v>Abrir facsímil</v>
      </c>
      <c r="K1159" s="15" t="s">
        <v>22</v>
      </c>
    </row>
    <row r="1160" spans="1:11" ht="42" customHeight="1">
      <c r="A1160" s="4" t="s">
        <v>2999</v>
      </c>
      <c r="B1160" s="5" t="s">
        <v>3000</v>
      </c>
      <c r="C1160" s="5" t="s">
        <v>28</v>
      </c>
      <c r="D1160" s="5" t="s">
        <v>29</v>
      </c>
      <c r="E1160" s="5" t="s">
        <v>94</v>
      </c>
      <c r="F1160" s="9">
        <v>22</v>
      </c>
      <c r="G1160" s="9">
        <v>256</v>
      </c>
      <c r="H1160" s="5" t="s">
        <v>20</v>
      </c>
      <c r="I1160" s="5" t="s">
        <v>3001</v>
      </c>
      <c r="J1160" s="12" t="str">
        <f>HYPERLINK("https://www.boe.es/gazeta/dias/1807/03/06/pdfs/GMD-1807-22.pdf#page=8","Abrir facsímil")</f>
        <v>Abrir facsímil</v>
      </c>
      <c r="K1160" s="15" t="s">
        <v>22</v>
      </c>
    </row>
    <row r="1161" spans="1:11" ht="42" customHeight="1">
      <c r="A1161" s="4" t="s">
        <v>3002</v>
      </c>
      <c r="B1161" s="5" t="s">
        <v>3003</v>
      </c>
      <c r="C1161" s="5" t="s">
        <v>34</v>
      </c>
      <c r="D1161" s="5" t="s">
        <v>35</v>
      </c>
      <c r="E1161" s="5" t="s">
        <v>62</v>
      </c>
      <c r="F1161" s="9">
        <v>68</v>
      </c>
      <c r="G1161" s="9">
        <v>786</v>
      </c>
      <c r="H1161" s="5" t="s">
        <v>20</v>
      </c>
      <c r="I1161" s="5" t="s">
        <v>3004</v>
      </c>
      <c r="J1161" s="12" t="str">
        <f>HYPERLINK("https://www.boe.es/gazeta/dias/1807/07/31/pdfs/GMD-1807-68.pdf#page=10","Abrir facsímil")</f>
        <v>Abrir facsímil</v>
      </c>
      <c r="K1161" s="15" t="s">
        <v>22</v>
      </c>
    </row>
    <row r="1162" spans="1:11" ht="42" customHeight="1">
      <c r="A1162" s="4" t="s">
        <v>3005</v>
      </c>
      <c r="B1162" s="5" t="s">
        <v>3006</v>
      </c>
      <c r="C1162" s="5" t="s">
        <v>24</v>
      </c>
      <c r="D1162" s="5" t="s">
        <v>18</v>
      </c>
      <c r="E1162" s="5" t="s">
        <v>131</v>
      </c>
      <c r="F1162" s="9">
        <v>28</v>
      </c>
      <c r="G1162" s="9">
        <v>335</v>
      </c>
      <c r="H1162" s="5" t="s">
        <v>20</v>
      </c>
      <c r="I1162" s="5" t="s">
        <v>3007</v>
      </c>
      <c r="J1162" s="12" t="str">
        <f>HYPERLINK("https://www.boe.es/gazeta/dias/1807/03/27/pdfs/GMD-1807-28.pdf#page=7","Abrir facsímil")</f>
        <v>Abrir facsímil</v>
      </c>
      <c r="K1162" s="15" t="s">
        <v>22</v>
      </c>
    </row>
    <row r="1163" spans="1:11" ht="42" customHeight="1">
      <c r="A1163" s="4" t="s">
        <v>3005</v>
      </c>
      <c r="B1163" s="5" t="s">
        <v>3006</v>
      </c>
      <c r="C1163" s="5" t="s">
        <v>34</v>
      </c>
      <c r="D1163" s="5" t="s">
        <v>35</v>
      </c>
      <c r="E1163" s="5" t="s">
        <v>71</v>
      </c>
      <c r="F1163" s="9">
        <v>35</v>
      </c>
      <c r="G1163" s="9">
        <v>419</v>
      </c>
      <c r="H1163" s="5" t="s">
        <v>20</v>
      </c>
      <c r="I1163" s="5" t="s">
        <v>3008</v>
      </c>
      <c r="J1163" s="12" t="str">
        <f>HYPERLINK("https://www.boe.es/gazeta/dias/1807/04/21/pdfs/GMD-1807-35.pdf#page=11","Abrir facsímil")</f>
        <v>Abrir facsímil</v>
      </c>
      <c r="K1163" s="15" t="s">
        <v>22</v>
      </c>
    </row>
    <row r="1164" spans="1:11" ht="42" customHeight="1">
      <c r="A1164" s="4" t="s">
        <v>3005</v>
      </c>
      <c r="B1164" s="5" t="s">
        <v>3006</v>
      </c>
      <c r="C1164" s="5" t="s">
        <v>24</v>
      </c>
      <c r="D1164" s="5" t="s">
        <v>18</v>
      </c>
      <c r="E1164" s="5" t="s">
        <v>114</v>
      </c>
      <c r="F1164" s="9">
        <v>46</v>
      </c>
      <c r="G1164" s="9">
        <v>553</v>
      </c>
      <c r="H1164" s="5" t="s">
        <v>20</v>
      </c>
      <c r="I1164" s="5" t="s">
        <v>3009</v>
      </c>
      <c r="J1164" s="12" t="str">
        <f>HYPERLINK("https://www.boe.es/gazeta/dias/1807/05/29/pdfs/GMD-1807-46.pdf#page=11","Abrir facsímil")</f>
        <v>Abrir facsímil</v>
      </c>
      <c r="K1164" s="15" t="s">
        <v>22</v>
      </c>
    </row>
    <row r="1165" spans="1:11" ht="42" customHeight="1">
      <c r="A1165" s="4" t="s">
        <v>3005</v>
      </c>
      <c r="B1165" s="5" t="s">
        <v>3006</v>
      </c>
      <c r="C1165" s="5" t="s">
        <v>34</v>
      </c>
      <c r="D1165" s="5" t="s">
        <v>35</v>
      </c>
      <c r="E1165" s="5" t="s">
        <v>406</v>
      </c>
      <c r="F1165" s="9">
        <v>82</v>
      </c>
      <c r="G1165" s="9">
        <v>958</v>
      </c>
      <c r="H1165" s="5" t="s">
        <v>20</v>
      </c>
      <c r="I1165" s="5" t="s">
        <v>3010</v>
      </c>
      <c r="J1165" s="12" t="str">
        <f>HYPERLINK("https://www.boe.es/gazeta/dias/1807/09/15/pdfs/GMD-1807-82.pdf#page=10","Abrir facsímil")</f>
        <v>Abrir facsímil</v>
      </c>
      <c r="K1165" s="15" t="s">
        <v>22</v>
      </c>
    </row>
    <row r="1166" spans="1:11" ht="42" customHeight="1">
      <c r="A1166" s="4" t="s">
        <v>3011</v>
      </c>
      <c r="B1166" s="5" t="s">
        <v>3012</v>
      </c>
      <c r="C1166" s="5" t="s">
        <v>28</v>
      </c>
      <c r="D1166" s="5" t="s">
        <v>29</v>
      </c>
      <c r="E1166" s="5" t="s">
        <v>2914</v>
      </c>
      <c r="F1166" s="9">
        <v>29</v>
      </c>
      <c r="G1166" s="9">
        <v>346</v>
      </c>
      <c r="H1166" s="5" t="s">
        <v>20</v>
      </c>
      <c r="I1166" s="5" t="s">
        <v>3013</v>
      </c>
      <c r="J1166" s="12" t="str">
        <f>HYPERLINK("https://www.boe.es/gazeta/dias/1807/03/31/pdfs/GMD-1807-29.pdf#page=10","Abrir facsímil")</f>
        <v>Abrir facsímil</v>
      </c>
      <c r="K1166" s="15" t="s">
        <v>22</v>
      </c>
    </row>
    <row r="1167" spans="1:11" ht="42" customHeight="1">
      <c r="A1167" s="4" t="s">
        <v>3011</v>
      </c>
      <c r="B1167" s="5" t="s">
        <v>3012</v>
      </c>
      <c r="C1167" s="5" t="s">
        <v>28</v>
      </c>
      <c r="D1167" s="5" t="s">
        <v>29</v>
      </c>
      <c r="E1167" s="5" t="s">
        <v>62</v>
      </c>
      <c r="F1167" s="9">
        <v>68</v>
      </c>
      <c r="G1167" s="9">
        <v>784</v>
      </c>
      <c r="H1167" s="5" t="s">
        <v>20</v>
      </c>
      <c r="I1167" s="5" t="s">
        <v>3014</v>
      </c>
      <c r="J1167" s="12" t="str">
        <f>HYPERLINK("https://www.boe.es/gazeta/dias/1807/07/31/pdfs/GMD-1807-68.pdf#page=8","Abrir facsímil")</f>
        <v>Abrir facsímil</v>
      </c>
      <c r="K1167" s="15" t="s">
        <v>22</v>
      </c>
    </row>
    <row r="1168" spans="1:11" ht="42" customHeight="1">
      <c r="A1168" s="4" t="s">
        <v>3015</v>
      </c>
      <c r="B1168" s="5" t="s">
        <v>3016</v>
      </c>
      <c r="C1168" s="5" t="s">
        <v>28</v>
      </c>
      <c r="D1168" s="5" t="s">
        <v>29</v>
      </c>
      <c r="E1168" s="5" t="s">
        <v>561</v>
      </c>
      <c r="F1168" s="9">
        <v>44</v>
      </c>
      <c r="G1168" s="9">
        <v>525</v>
      </c>
      <c r="H1168" s="5" t="s">
        <v>20</v>
      </c>
      <c r="I1168" s="5" t="s">
        <v>3017</v>
      </c>
      <c r="J1168" s="12" t="str">
        <f>HYPERLINK("https://www.boe.es/gazeta/dias/1807/05/22/pdfs/GMD-1807-44.pdf#page=7","Abrir facsímil")</f>
        <v>Abrir facsímil</v>
      </c>
      <c r="K1168" s="15" t="s">
        <v>22</v>
      </c>
    </row>
    <row r="1169" spans="1:11" ht="42" customHeight="1">
      <c r="A1169" s="4" t="s">
        <v>3018</v>
      </c>
      <c r="B1169" s="5" t="s">
        <v>3019</v>
      </c>
      <c r="C1169" s="5" t="s">
        <v>28</v>
      </c>
      <c r="D1169" s="5" t="s">
        <v>29</v>
      </c>
      <c r="E1169" s="5" t="s">
        <v>422</v>
      </c>
      <c r="F1169" s="9">
        <v>33</v>
      </c>
      <c r="G1169" s="9">
        <v>395</v>
      </c>
      <c r="H1169" s="5" t="s">
        <v>20</v>
      </c>
      <c r="I1169" s="5" t="s">
        <v>3020</v>
      </c>
      <c r="J1169" s="12" t="str">
        <f>HYPERLINK("https://www.boe.es/gazeta/dias/1807/04/14/pdfs/GMD-1807-33.pdf#page=11","Abrir facsímil")</f>
        <v>Abrir facsímil</v>
      </c>
      <c r="K1169" s="15" t="s">
        <v>22</v>
      </c>
    </row>
    <row r="1170" spans="1:11" ht="42" customHeight="1">
      <c r="A1170" s="4" t="s">
        <v>3018</v>
      </c>
      <c r="B1170" s="5" t="s">
        <v>3019</v>
      </c>
      <c r="C1170" s="5" t="s">
        <v>34</v>
      </c>
      <c r="D1170" s="5" t="s">
        <v>35</v>
      </c>
      <c r="E1170" s="5" t="s">
        <v>350</v>
      </c>
      <c r="F1170" s="9">
        <v>112</v>
      </c>
      <c r="G1170" s="9">
        <v>1310</v>
      </c>
      <c r="H1170" s="5" t="s">
        <v>20</v>
      </c>
      <c r="I1170" s="5" t="s">
        <v>3021</v>
      </c>
      <c r="J1170" s="12" t="str">
        <f>HYPERLINK("https://www.boe.es/gazeta/dias/1807/12/18/pdfs/GMD-1807-112.pdf#page=10","Abrir facsímil")</f>
        <v>Abrir facsímil</v>
      </c>
      <c r="K1170" s="15" t="s">
        <v>22</v>
      </c>
    </row>
    <row r="1171" spans="1:11" ht="42" customHeight="1">
      <c r="A1171" s="4" t="s">
        <v>3022</v>
      </c>
      <c r="B1171" s="5" t="s">
        <v>3023</v>
      </c>
      <c r="C1171" s="5" t="s">
        <v>24</v>
      </c>
      <c r="D1171" s="5" t="s">
        <v>18</v>
      </c>
      <c r="E1171" s="5" t="s">
        <v>595</v>
      </c>
      <c r="F1171" s="9">
        <v>59</v>
      </c>
      <c r="G1171" s="9">
        <v>704</v>
      </c>
      <c r="H1171" s="5" t="s">
        <v>20</v>
      </c>
      <c r="I1171" s="5" t="s">
        <v>3024</v>
      </c>
      <c r="J1171" s="12" t="str">
        <f>HYPERLINK("https://www.boe.es/gazeta/dias/1807/07/10/pdfs/GMD-1807-59.pdf#page=10","Abrir facsímil")</f>
        <v>Abrir facsímil</v>
      </c>
      <c r="K1171" s="15" t="s">
        <v>22</v>
      </c>
    </row>
    <row r="1172" spans="1:11" ht="42" customHeight="1">
      <c r="A1172" s="4" t="s">
        <v>3025</v>
      </c>
      <c r="B1172" s="5" t="s">
        <v>3026</v>
      </c>
      <c r="C1172" s="5" t="s">
        <v>34</v>
      </c>
      <c r="D1172" s="5" t="s">
        <v>35</v>
      </c>
      <c r="E1172" s="5" t="s">
        <v>376</v>
      </c>
      <c r="F1172" s="9">
        <v>19</v>
      </c>
      <c r="G1172" s="9">
        <v>225</v>
      </c>
      <c r="H1172" s="5" t="s">
        <v>20</v>
      </c>
      <c r="I1172" s="5" t="s">
        <v>3027</v>
      </c>
      <c r="J1172" s="12" t="str">
        <f>HYPERLINK("https://www.boe.es/gazeta/dias/1807/02/27/pdfs/GMD-1807-19.pdf#page=9","Abrir facsímil")</f>
        <v>Abrir facsímil</v>
      </c>
      <c r="K1172" s="15" t="s">
        <v>22</v>
      </c>
    </row>
    <row r="1173" spans="1:11" ht="42" customHeight="1">
      <c r="A1173" s="4" t="s">
        <v>3025</v>
      </c>
      <c r="B1173" s="5" t="s">
        <v>3026</v>
      </c>
      <c r="C1173" s="5" t="s">
        <v>34</v>
      </c>
      <c r="D1173" s="5" t="s">
        <v>35</v>
      </c>
      <c r="E1173" s="5" t="s">
        <v>1456</v>
      </c>
      <c r="F1173" s="9">
        <v>98</v>
      </c>
      <c r="G1173" s="9">
        <v>1142</v>
      </c>
      <c r="H1173" s="5" t="s">
        <v>20</v>
      </c>
      <c r="I1173" s="5" t="s">
        <v>3028</v>
      </c>
      <c r="J1173" s="12" t="str">
        <f>HYPERLINK("https://www.boe.es/gazeta/dias/1807/11/03/pdfs/GMD-1807-98.pdf#page=10","Abrir facsímil")</f>
        <v>Abrir facsímil</v>
      </c>
      <c r="K1173" s="15" t="s">
        <v>22</v>
      </c>
    </row>
    <row r="1174" spans="1:11" ht="42" customHeight="1">
      <c r="A1174" s="4" t="s">
        <v>3029</v>
      </c>
      <c r="B1174" s="5" t="s">
        <v>3030</v>
      </c>
      <c r="C1174" s="5" t="s">
        <v>34</v>
      </c>
      <c r="D1174" s="5" t="s">
        <v>35</v>
      </c>
      <c r="E1174" s="5" t="s">
        <v>245</v>
      </c>
      <c r="F1174" s="9">
        <v>97</v>
      </c>
      <c r="G1174" s="9">
        <v>1128</v>
      </c>
      <c r="H1174" s="5" t="s">
        <v>20</v>
      </c>
      <c r="I1174" s="5" t="s">
        <v>3031</v>
      </c>
      <c r="J1174" s="12" t="str">
        <f>HYPERLINK("https://www.boe.es/gazeta/dias/1807/10/30/pdfs/GMD-1807-97.pdf#page=8","Abrir facsímil")</f>
        <v>Abrir facsímil</v>
      </c>
      <c r="K1174" s="15" t="s">
        <v>22</v>
      </c>
    </row>
    <row r="1175" spans="1:11" ht="42" customHeight="1">
      <c r="A1175" s="4" t="s">
        <v>3032</v>
      </c>
      <c r="B1175" s="5" t="s">
        <v>3033</v>
      </c>
      <c r="C1175" s="5" t="s">
        <v>28</v>
      </c>
      <c r="D1175" s="5" t="s">
        <v>29</v>
      </c>
      <c r="E1175" s="5" t="s">
        <v>152</v>
      </c>
      <c r="F1175" s="9">
        <v>61</v>
      </c>
      <c r="G1175" s="9">
        <v>721</v>
      </c>
      <c r="H1175" s="5" t="s">
        <v>20</v>
      </c>
      <c r="I1175" s="5" t="s">
        <v>3034</v>
      </c>
      <c r="J1175" s="12" t="str">
        <f>HYPERLINK("https://www.boe.es/gazeta/dias/1807/07/14/pdfs/GMD-1807-61.pdf#page=7","Abrir facsímil")</f>
        <v>Abrir facsímil</v>
      </c>
      <c r="K1175" s="15" t="s">
        <v>22</v>
      </c>
    </row>
    <row r="1176" spans="1:11" ht="42" customHeight="1">
      <c r="A1176" s="4" t="s">
        <v>3035</v>
      </c>
      <c r="B1176" s="5" t="s">
        <v>3036</v>
      </c>
      <c r="C1176" s="5" t="s">
        <v>17</v>
      </c>
      <c r="D1176" s="5" t="s">
        <v>18</v>
      </c>
      <c r="E1176" s="5" t="s">
        <v>393</v>
      </c>
      <c r="F1176" s="9">
        <v>15</v>
      </c>
      <c r="G1176" s="9">
        <v>172</v>
      </c>
      <c r="H1176" s="5" t="s">
        <v>20</v>
      </c>
      <c r="I1176" s="5" t="s">
        <v>3037</v>
      </c>
      <c r="J1176" s="12" t="str">
        <f>HYPERLINK("https://www.boe.es/gazeta/dias/1807/02/13/pdfs/GMD-1807-15.pdf#page=8","Abrir facsímil")</f>
        <v>Abrir facsímil</v>
      </c>
      <c r="K1176" s="15" t="s">
        <v>22</v>
      </c>
    </row>
    <row r="1177" spans="1:11" ht="42" customHeight="1">
      <c r="A1177" s="4" t="s">
        <v>3038</v>
      </c>
      <c r="B1177" s="5" t="s">
        <v>3039</v>
      </c>
      <c r="C1177" s="5" t="s">
        <v>34</v>
      </c>
      <c r="D1177" s="5" t="s">
        <v>35</v>
      </c>
      <c r="E1177" s="5" t="s">
        <v>208</v>
      </c>
      <c r="F1177" s="9">
        <v>42</v>
      </c>
      <c r="G1177" s="9">
        <v>502</v>
      </c>
      <c r="H1177" s="5" t="s">
        <v>20</v>
      </c>
      <c r="I1177" s="5" t="s">
        <v>3040</v>
      </c>
      <c r="J1177" s="12" t="str">
        <f>HYPERLINK("https://www.boe.es/gazeta/dias/1807/05/15/pdfs/GMD-1807-42.pdf#page=8","Abrir facsímil")</f>
        <v>Abrir facsímil</v>
      </c>
      <c r="K1177" s="15" t="s">
        <v>22</v>
      </c>
    </row>
    <row r="1178" spans="1:11" ht="42" customHeight="1">
      <c r="A1178" s="4" t="s">
        <v>3041</v>
      </c>
      <c r="B1178" s="5" t="s">
        <v>3042</v>
      </c>
      <c r="C1178" s="5" t="s">
        <v>17</v>
      </c>
      <c r="D1178" s="5" t="s">
        <v>18</v>
      </c>
      <c r="E1178" s="5" t="s">
        <v>71</v>
      </c>
      <c r="F1178" s="9">
        <v>35</v>
      </c>
      <c r="G1178" s="9">
        <v>420</v>
      </c>
      <c r="H1178" s="5" t="s">
        <v>20</v>
      </c>
      <c r="I1178" s="5" t="s">
        <v>3043</v>
      </c>
      <c r="J1178" s="12" t="str">
        <f>HYPERLINK("https://www.boe.es/gazeta/dias/1807/04/21/pdfs/GMD-1807-35.pdf#page=12","Abrir facsímil")</f>
        <v>Abrir facsímil</v>
      </c>
      <c r="K1178" s="15" t="s">
        <v>22</v>
      </c>
    </row>
    <row r="1179" spans="1:11" ht="42" customHeight="1">
      <c r="A1179" s="4" t="s">
        <v>3044</v>
      </c>
      <c r="B1179" s="5" t="s">
        <v>3045</v>
      </c>
      <c r="C1179" s="5" t="s">
        <v>34</v>
      </c>
      <c r="D1179" s="5" t="s">
        <v>35</v>
      </c>
      <c r="E1179" s="5" t="s">
        <v>62</v>
      </c>
      <c r="F1179" s="9">
        <v>68</v>
      </c>
      <c r="G1179" s="9">
        <v>783</v>
      </c>
      <c r="H1179" s="5" t="s">
        <v>20</v>
      </c>
      <c r="I1179" s="5" t="s">
        <v>3046</v>
      </c>
      <c r="J1179" s="12" t="str">
        <f>HYPERLINK("https://www.boe.es/gazeta/dias/1807/07/31/pdfs/GMD-1807-68.pdf#page=7","Abrir facsímil")</f>
        <v>Abrir facsímil</v>
      </c>
      <c r="K1179" s="15" t="s">
        <v>22</v>
      </c>
    </row>
    <row r="1180" spans="1:11" ht="42" customHeight="1">
      <c r="A1180" s="4" t="s">
        <v>3047</v>
      </c>
      <c r="B1180" s="5" t="s">
        <v>3048</v>
      </c>
      <c r="C1180" s="5" t="s">
        <v>28</v>
      </c>
      <c r="D1180" s="5" t="s">
        <v>29</v>
      </c>
      <c r="E1180" s="5" t="s">
        <v>91</v>
      </c>
      <c r="F1180" s="9">
        <v>109</v>
      </c>
      <c r="G1180" s="9">
        <v>1273</v>
      </c>
      <c r="H1180" s="5" t="s">
        <v>20</v>
      </c>
      <c r="I1180" s="5" t="s">
        <v>3049</v>
      </c>
      <c r="J1180" s="12" t="str">
        <f>HYPERLINK("https://www.boe.es/gazeta/dias/1807/12/08/pdfs/GMD-1807-109.pdf#page=9","Abrir facsímil")</f>
        <v>Abrir facsímil</v>
      </c>
      <c r="K1180" s="15" t="s">
        <v>22</v>
      </c>
    </row>
    <row r="1181" spans="1:11" ht="42" customHeight="1">
      <c r="A1181" s="4" t="s">
        <v>3050</v>
      </c>
      <c r="B1181" s="5" t="s">
        <v>3051</v>
      </c>
      <c r="C1181" s="5" t="s">
        <v>252</v>
      </c>
      <c r="D1181" s="5" t="s">
        <v>253</v>
      </c>
      <c r="E1181" s="5" t="s">
        <v>534</v>
      </c>
      <c r="F1181" s="9" t="s">
        <v>535</v>
      </c>
      <c r="G1181" s="9">
        <v>97</v>
      </c>
      <c r="H1181" s="5" t="s">
        <v>20</v>
      </c>
      <c r="I1181" s="5" t="s">
        <v>3052</v>
      </c>
      <c r="J1181" s="12" t="str">
        <f>HYPERLINK("https://www.boe.es/gazeta/dias/1807/01/24/pdfs/GMD-1807-9E.pdf#page=1","Abrir facsímil")</f>
        <v>Abrir facsímil</v>
      </c>
      <c r="K1181" s="15" t="s">
        <v>22</v>
      </c>
    </row>
    <row r="1182" spans="1:11" ht="42" customHeight="1">
      <c r="A1182" s="4" t="s">
        <v>3053</v>
      </c>
      <c r="B1182" s="5" t="s">
        <v>3054</v>
      </c>
      <c r="C1182" s="5" t="s">
        <v>34</v>
      </c>
      <c r="D1182" s="5" t="s">
        <v>35</v>
      </c>
      <c r="E1182" s="5" t="s">
        <v>241</v>
      </c>
      <c r="F1182" s="9">
        <v>76</v>
      </c>
      <c r="G1182" s="9">
        <v>878</v>
      </c>
      <c r="H1182" s="5" t="s">
        <v>20</v>
      </c>
      <c r="I1182" s="5" t="s">
        <v>3055</v>
      </c>
      <c r="J1182" s="12" t="str">
        <f>HYPERLINK("https://www.boe.es/gazeta/dias/1807/08/25/pdfs/GMD-1807-76.pdf#page=6","Abrir facsímil")</f>
        <v>Abrir facsímil</v>
      </c>
      <c r="K1182" s="15" t="s">
        <v>22</v>
      </c>
    </row>
    <row r="1183" spans="1:11" ht="42" customHeight="1">
      <c r="A1183" s="4" t="s">
        <v>3056</v>
      </c>
      <c r="B1183" s="5" t="s">
        <v>3057</v>
      </c>
      <c r="C1183" s="5" t="s">
        <v>34</v>
      </c>
      <c r="D1183" s="5" t="s">
        <v>35</v>
      </c>
      <c r="E1183" s="5" t="s">
        <v>426</v>
      </c>
      <c r="F1183" s="9">
        <v>93</v>
      </c>
      <c r="G1183" s="9">
        <v>1080</v>
      </c>
      <c r="H1183" s="5" t="s">
        <v>20</v>
      </c>
      <c r="I1183" s="5" t="s">
        <v>3058</v>
      </c>
      <c r="J1183" s="12" t="str">
        <f>HYPERLINK("https://www.boe.es/gazeta/dias/1807/10/16/pdfs/GMD-1807-93.pdf#page=8","Abrir facsímil")</f>
        <v>Abrir facsímil</v>
      </c>
      <c r="K1183" s="15" t="s">
        <v>22</v>
      </c>
    </row>
    <row r="1184" spans="1:11" ht="42" customHeight="1">
      <c r="A1184" s="4" t="s">
        <v>3059</v>
      </c>
      <c r="B1184" s="5" t="s">
        <v>3060</v>
      </c>
      <c r="C1184" s="5" t="s">
        <v>24</v>
      </c>
      <c r="D1184" s="5" t="s">
        <v>18</v>
      </c>
      <c r="E1184" s="5" t="s">
        <v>123</v>
      </c>
      <c r="F1184" s="9">
        <v>70</v>
      </c>
      <c r="G1184" s="9">
        <v>807</v>
      </c>
      <c r="H1184" s="5" t="s">
        <v>20</v>
      </c>
      <c r="I1184" s="5" t="s">
        <v>3061</v>
      </c>
      <c r="J1184" s="12" t="str">
        <f>HYPERLINK("https://www.boe.es/gazeta/dias/1807/08/04/pdfs/GMD-1807-70.pdf#page=11","Abrir facsímil")</f>
        <v>Abrir facsímil</v>
      </c>
      <c r="K1184" s="15" t="s">
        <v>22</v>
      </c>
    </row>
    <row r="1185" spans="1:11" ht="42" customHeight="1">
      <c r="A1185" s="4" t="s">
        <v>3062</v>
      </c>
      <c r="B1185" s="5" t="s">
        <v>3063</v>
      </c>
      <c r="C1185" s="5" t="s">
        <v>28</v>
      </c>
      <c r="D1185" s="5" t="s">
        <v>29</v>
      </c>
      <c r="E1185" s="5" t="s">
        <v>149</v>
      </c>
      <c r="F1185" s="9">
        <v>38</v>
      </c>
      <c r="G1185" s="9">
        <v>454</v>
      </c>
      <c r="H1185" s="5" t="s">
        <v>20</v>
      </c>
      <c r="I1185" s="5" t="s">
        <v>3064</v>
      </c>
      <c r="J1185" s="12" t="str">
        <f>HYPERLINK("https://www.boe.es/gazeta/dias/1807/05/01/pdfs/GMD-1807-38.pdf#page=10","Abrir facsímil")</f>
        <v>Abrir facsímil</v>
      </c>
      <c r="K1185" s="15" t="s">
        <v>22</v>
      </c>
    </row>
    <row r="1186" spans="1:11" ht="42" customHeight="1">
      <c r="A1186" s="4" t="s">
        <v>3065</v>
      </c>
      <c r="B1186" s="5" t="s">
        <v>3066</v>
      </c>
      <c r="C1186" s="5" t="s">
        <v>34</v>
      </c>
      <c r="D1186" s="5" t="s">
        <v>35</v>
      </c>
      <c r="E1186" s="5" t="s">
        <v>1076</v>
      </c>
      <c r="F1186" s="9">
        <v>96</v>
      </c>
      <c r="G1186" s="9">
        <v>1117</v>
      </c>
      <c r="H1186" s="5" t="s">
        <v>20</v>
      </c>
      <c r="I1186" s="5" t="s">
        <v>3067</v>
      </c>
      <c r="J1186" s="12" t="str">
        <f>HYPERLINK("https://www.boe.es/gazeta/dias/1807/10/27/pdfs/GMD-1807-96.pdf#page=9","Abrir facsímil")</f>
        <v>Abrir facsímil</v>
      </c>
      <c r="K1186" s="15" t="s">
        <v>22</v>
      </c>
    </row>
    <row r="1187" spans="1:11" ht="42" customHeight="1">
      <c r="A1187" s="4" t="s">
        <v>3068</v>
      </c>
      <c r="B1187" s="5" t="s">
        <v>3069</v>
      </c>
      <c r="C1187" s="5" t="s">
        <v>24</v>
      </c>
      <c r="D1187" s="5" t="s">
        <v>18</v>
      </c>
      <c r="E1187" s="5" t="s">
        <v>40</v>
      </c>
      <c r="F1187" s="9">
        <v>26</v>
      </c>
      <c r="G1187" s="9">
        <v>310</v>
      </c>
      <c r="H1187" s="5" t="s">
        <v>20</v>
      </c>
      <c r="I1187" s="5" t="s">
        <v>3070</v>
      </c>
      <c r="J1187" s="12" t="str">
        <f>HYPERLINK("https://www.boe.es/gazeta/dias/1807/03/20/pdfs/GMD-1807-26.pdf#page=6","Abrir facsímil")</f>
        <v>Abrir facsímil</v>
      </c>
      <c r="K1187" s="15" t="s">
        <v>22</v>
      </c>
    </row>
    <row r="1188" spans="1:11" ht="42" customHeight="1">
      <c r="A1188" s="4" t="s">
        <v>3071</v>
      </c>
      <c r="B1188" s="5" t="s">
        <v>3072</v>
      </c>
      <c r="C1188" s="5" t="s">
        <v>28</v>
      </c>
      <c r="D1188" s="5" t="s">
        <v>29</v>
      </c>
      <c r="E1188" s="5" t="s">
        <v>309</v>
      </c>
      <c r="F1188" s="9">
        <v>107</v>
      </c>
      <c r="G1188" s="9">
        <v>1247</v>
      </c>
      <c r="H1188" s="5" t="s">
        <v>20</v>
      </c>
      <c r="I1188" s="5" t="s">
        <v>3073</v>
      </c>
      <c r="J1188" s="12" t="str">
        <f>HYPERLINK("https://www.boe.es/gazeta/dias/1807/12/01/pdfs/GMD-1807-107.pdf#page=7","Abrir facsímil")</f>
        <v>Abrir facsímil</v>
      </c>
      <c r="K1188" s="15" t="s">
        <v>22</v>
      </c>
    </row>
    <row r="1189" spans="1:11" ht="42" customHeight="1">
      <c r="A1189" s="4" t="s">
        <v>3074</v>
      </c>
      <c r="B1189" s="5" t="s">
        <v>3075</v>
      </c>
      <c r="C1189" s="5" t="s">
        <v>34</v>
      </c>
      <c r="D1189" s="5" t="s">
        <v>35</v>
      </c>
      <c r="E1189" s="5" t="s">
        <v>123</v>
      </c>
      <c r="F1189" s="9">
        <v>70</v>
      </c>
      <c r="G1189" s="9">
        <v>806</v>
      </c>
      <c r="H1189" s="5" t="s">
        <v>20</v>
      </c>
      <c r="I1189" s="5" t="s">
        <v>3076</v>
      </c>
      <c r="J1189" s="12" t="str">
        <f>HYPERLINK("https://www.boe.es/gazeta/dias/1807/08/04/pdfs/GMD-1807-70.pdf#page=10","Abrir facsímil")</f>
        <v>Abrir facsímil</v>
      </c>
      <c r="K1189" s="15" t="s">
        <v>22</v>
      </c>
    </row>
    <row r="1190" spans="1:11" ht="42" customHeight="1">
      <c r="A1190" s="4" t="s">
        <v>3077</v>
      </c>
      <c r="B1190" s="5" t="s">
        <v>3078</v>
      </c>
      <c r="C1190" s="5" t="s">
        <v>17</v>
      </c>
      <c r="D1190" s="5" t="s">
        <v>18</v>
      </c>
      <c r="E1190" s="5" t="s">
        <v>208</v>
      </c>
      <c r="F1190" s="9">
        <v>42</v>
      </c>
      <c r="G1190" s="9">
        <v>505</v>
      </c>
      <c r="H1190" s="5" t="s">
        <v>20</v>
      </c>
      <c r="I1190" s="5" t="s">
        <v>3079</v>
      </c>
      <c r="J1190" s="12" t="str">
        <f>HYPERLINK("https://www.boe.es/gazeta/dias/1807/05/15/pdfs/GMD-1807-42.pdf#page=11","Abrir facsímil")</f>
        <v>Abrir facsímil</v>
      </c>
      <c r="K1190" s="15" t="s">
        <v>22</v>
      </c>
    </row>
    <row r="1191" spans="1:11" ht="42" customHeight="1">
      <c r="A1191" s="4" t="s">
        <v>3080</v>
      </c>
      <c r="B1191" s="5" t="s">
        <v>3081</v>
      </c>
      <c r="C1191" s="5" t="s">
        <v>28</v>
      </c>
      <c r="D1191" s="5" t="s">
        <v>29</v>
      </c>
      <c r="E1191" s="5" t="s">
        <v>224</v>
      </c>
      <c r="F1191" s="9">
        <v>91</v>
      </c>
      <c r="G1191" s="9">
        <v>1055</v>
      </c>
      <c r="H1191" s="5" t="s">
        <v>20</v>
      </c>
      <c r="I1191" s="5" t="s">
        <v>3082</v>
      </c>
      <c r="J1191" s="12" t="str">
        <f>HYPERLINK("https://www.boe.es/gazeta/dias/1807/10/09/pdfs/GMD-1807-91.pdf#page=7","Abrir facsímil")</f>
        <v>Abrir facsímil</v>
      </c>
      <c r="K1191" s="15" t="s">
        <v>22</v>
      </c>
    </row>
    <row r="1192" spans="1:11" ht="42" customHeight="1">
      <c r="A1192" s="4" t="s">
        <v>3083</v>
      </c>
      <c r="B1192" s="5" t="s">
        <v>3084</v>
      </c>
      <c r="C1192" s="5" t="s">
        <v>28</v>
      </c>
      <c r="D1192" s="5" t="s">
        <v>29</v>
      </c>
      <c r="E1192" s="5" t="s">
        <v>686</v>
      </c>
      <c r="F1192" s="9">
        <v>106</v>
      </c>
      <c r="G1192" s="9">
        <v>1237</v>
      </c>
      <c r="H1192" s="5" t="s">
        <v>20</v>
      </c>
      <c r="I1192" s="5" t="s">
        <v>3085</v>
      </c>
      <c r="J1192" s="12" t="str">
        <f>HYPERLINK("https://www.boe.es/gazeta/dias/1807/11/27/pdfs/GMD-1807-106.pdf#page=9","Abrir facsímil")</f>
        <v>Abrir facsímil</v>
      </c>
      <c r="K1192" s="15" t="s">
        <v>22</v>
      </c>
    </row>
    <row r="1193" spans="1:11" ht="42" customHeight="1">
      <c r="A1193" s="4" t="s">
        <v>3086</v>
      </c>
      <c r="B1193" s="5" t="s">
        <v>3087</v>
      </c>
      <c r="C1193" s="5" t="s">
        <v>17</v>
      </c>
      <c r="D1193" s="5" t="s">
        <v>18</v>
      </c>
      <c r="E1193" s="5" t="s">
        <v>53</v>
      </c>
      <c r="F1193" s="9">
        <v>64</v>
      </c>
      <c r="G1193" s="9">
        <v>746</v>
      </c>
      <c r="H1193" s="5" t="s">
        <v>20</v>
      </c>
      <c r="I1193" s="5" t="s">
        <v>3088</v>
      </c>
      <c r="J1193" s="12" t="str">
        <f>HYPERLINK("https://www.boe.es/gazeta/dias/1807/07/21/pdfs/GMD-1807-64.pdf#page=8","Abrir facsímil")</f>
        <v>Abrir facsímil</v>
      </c>
      <c r="K1193" s="15" t="s">
        <v>22</v>
      </c>
    </row>
    <row r="1194" spans="1:11" ht="42" customHeight="1">
      <c r="A1194" s="4" t="s">
        <v>3089</v>
      </c>
      <c r="B1194" s="5" t="s">
        <v>3090</v>
      </c>
      <c r="C1194" s="5" t="s">
        <v>34</v>
      </c>
      <c r="D1194" s="5" t="s">
        <v>35</v>
      </c>
      <c r="E1194" s="5" t="s">
        <v>471</v>
      </c>
      <c r="F1194" s="9">
        <v>51</v>
      </c>
      <c r="G1194" s="9">
        <v>605</v>
      </c>
      <c r="H1194" s="5" t="s">
        <v>20</v>
      </c>
      <c r="I1194" s="5" t="s">
        <v>3091</v>
      </c>
      <c r="J1194" s="12" t="str">
        <f>HYPERLINK("https://www.boe.es/gazeta/dias/1807/06/16/pdfs/GMD-1807-51.pdf#page=7","Abrir facsímil")</f>
        <v>Abrir facsímil</v>
      </c>
      <c r="K1194" s="15" t="s">
        <v>22</v>
      </c>
    </row>
    <row r="1195" spans="1:11" ht="42" customHeight="1">
      <c r="A1195" s="4" t="s">
        <v>3092</v>
      </c>
      <c r="B1195" s="5" t="s">
        <v>3093</v>
      </c>
      <c r="C1195" s="5" t="s">
        <v>28</v>
      </c>
      <c r="D1195" s="5" t="s">
        <v>29</v>
      </c>
      <c r="E1195" s="5" t="s">
        <v>1354</v>
      </c>
      <c r="F1195" s="9">
        <v>83</v>
      </c>
      <c r="G1195" s="9">
        <v>971</v>
      </c>
      <c r="H1195" s="5" t="s">
        <v>20</v>
      </c>
      <c r="I1195" s="5" t="s">
        <v>3094</v>
      </c>
      <c r="J1195" s="12" t="str">
        <f>HYPERLINK("https://www.boe.es/gazeta/dias/1807/09/18/pdfs/GMD-1807-83.pdf#page=11","Abrir facsímil")</f>
        <v>Abrir facsímil</v>
      </c>
      <c r="K1195" s="15" t="s">
        <v>22</v>
      </c>
    </row>
    <row r="1196" spans="1:11" ht="42" customHeight="1">
      <c r="A1196" s="4" t="s">
        <v>3095</v>
      </c>
      <c r="B1196" s="5" t="s">
        <v>3096</v>
      </c>
      <c r="C1196" s="5" t="s">
        <v>34</v>
      </c>
      <c r="D1196" s="5" t="s">
        <v>35</v>
      </c>
      <c r="E1196" s="5" t="s">
        <v>361</v>
      </c>
      <c r="F1196" s="9">
        <v>113</v>
      </c>
      <c r="G1196" s="9">
        <v>1322</v>
      </c>
      <c r="H1196" s="5" t="s">
        <v>20</v>
      </c>
      <c r="I1196" s="5" t="s">
        <v>3097</v>
      </c>
      <c r="J1196" s="12" t="str">
        <f>HYPERLINK("https://www.boe.es/gazeta/dias/1807/12/22/pdfs/GMD-1807-113.pdf#page=10","Abrir facsímil")</f>
        <v>Abrir facsímil</v>
      </c>
      <c r="K1196" s="15" t="s">
        <v>22</v>
      </c>
    </row>
    <row r="1197" spans="1:11" ht="42" customHeight="1">
      <c r="A1197" s="4" t="s">
        <v>3098</v>
      </c>
      <c r="B1197" s="5" t="s">
        <v>3099</v>
      </c>
      <c r="C1197" s="5" t="s">
        <v>28</v>
      </c>
      <c r="D1197" s="5" t="s">
        <v>29</v>
      </c>
      <c r="E1197" s="5" t="s">
        <v>301</v>
      </c>
      <c r="F1197" s="9">
        <v>89</v>
      </c>
      <c r="G1197" s="9">
        <v>1031</v>
      </c>
      <c r="H1197" s="5" t="s">
        <v>20</v>
      </c>
      <c r="I1197" s="5" t="s">
        <v>3100</v>
      </c>
      <c r="J1197" s="12" t="str">
        <f>HYPERLINK("https://www.boe.es/gazeta/dias/1807/10/02/pdfs/GMD-1807-89.pdf#page=11","Abrir facsímil")</f>
        <v>Abrir facsímil</v>
      </c>
      <c r="K1197" s="15" t="s">
        <v>22</v>
      </c>
    </row>
    <row r="1198" spans="1:11" ht="42" customHeight="1">
      <c r="A1198" s="4" t="s">
        <v>3101</v>
      </c>
      <c r="B1198" s="5" t="s">
        <v>3102</v>
      </c>
      <c r="C1198" s="5" t="s">
        <v>34</v>
      </c>
      <c r="D1198" s="5" t="s">
        <v>35</v>
      </c>
      <c r="E1198" s="5" t="s">
        <v>53</v>
      </c>
      <c r="F1198" s="9">
        <v>64</v>
      </c>
      <c r="G1198" s="9">
        <v>746</v>
      </c>
      <c r="H1198" s="5" t="s">
        <v>20</v>
      </c>
      <c r="I1198" s="5" t="s">
        <v>3103</v>
      </c>
      <c r="J1198" s="12" t="str">
        <f>HYPERLINK("https://www.boe.es/gazeta/dias/1807/07/21/pdfs/GMD-1807-64.pdf#page=8","Abrir facsímil")</f>
        <v>Abrir facsímil</v>
      </c>
      <c r="K1198" s="15" t="s">
        <v>22</v>
      </c>
    </row>
    <row r="1199" spans="1:11" ht="42" customHeight="1">
      <c r="A1199" s="4" t="s">
        <v>3104</v>
      </c>
      <c r="B1199" s="5" t="s">
        <v>3105</v>
      </c>
      <c r="C1199" s="5" t="s">
        <v>34</v>
      </c>
      <c r="D1199" s="5" t="s">
        <v>35</v>
      </c>
      <c r="E1199" s="5" t="s">
        <v>208</v>
      </c>
      <c r="F1199" s="9">
        <v>42</v>
      </c>
      <c r="G1199" s="9">
        <v>502</v>
      </c>
      <c r="H1199" s="5" t="s">
        <v>20</v>
      </c>
      <c r="I1199" s="5" t="s">
        <v>3106</v>
      </c>
      <c r="J1199" s="12" t="str">
        <f>HYPERLINK("https://www.boe.es/gazeta/dias/1807/05/15/pdfs/GMD-1807-42.pdf#page=8","Abrir facsímil")</f>
        <v>Abrir facsímil</v>
      </c>
      <c r="K1199" s="15" t="s">
        <v>22</v>
      </c>
    </row>
    <row r="1200" spans="1:11" ht="42" customHeight="1">
      <c r="A1200" s="4" t="s">
        <v>3107</v>
      </c>
      <c r="B1200" s="5" t="s">
        <v>3108</v>
      </c>
      <c r="C1200" s="5" t="s">
        <v>17</v>
      </c>
      <c r="D1200" s="5" t="s">
        <v>18</v>
      </c>
      <c r="E1200" s="5" t="s">
        <v>152</v>
      </c>
      <c r="F1200" s="9">
        <v>61</v>
      </c>
      <c r="G1200" s="9">
        <v>724</v>
      </c>
      <c r="H1200" s="5" t="s">
        <v>20</v>
      </c>
      <c r="I1200" s="5" t="s">
        <v>3109</v>
      </c>
      <c r="J1200" s="12" t="str">
        <f>HYPERLINK("https://www.boe.es/gazeta/dias/1807/07/14/pdfs/GMD-1807-61.pdf#page=10","Abrir facsímil")</f>
        <v>Abrir facsímil</v>
      </c>
      <c r="K1200" s="15" t="s">
        <v>22</v>
      </c>
    </row>
    <row r="1201" spans="1:11" ht="42" customHeight="1">
      <c r="A1201" s="4" t="s">
        <v>3110</v>
      </c>
      <c r="B1201" s="5" t="s">
        <v>3111</v>
      </c>
      <c r="C1201" s="5" t="s">
        <v>28</v>
      </c>
      <c r="D1201" s="5" t="s">
        <v>29</v>
      </c>
      <c r="E1201" s="5" t="s">
        <v>152</v>
      </c>
      <c r="F1201" s="9">
        <v>61</v>
      </c>
      <c r="G1201" s="9">
        <v>723</v>
      </c>
      <c r="H1201" s="5" t="s">
        <v>20</v>
      </c>
      <c r="I1201" s="5" t="s">
        <v>3112</v>
      </c>
      <c r="J1201" s="12" t="str">
        <f>HYPERLINK("https://www.boe.es/gazeta/dias/1807/07/14/pdfs/GMD-1807-61.pdf#page=9","Abrir facsímil")</f>
        <v>Abrir facsímil</v>
      </c>
      <c r="K1201" s="15" t="s">
        <v>22</v>
      </c>
    </row>
    <row r="1202" spans="1:11" ht="42" customHeight="1">
      <c r="A1202" s="4" t="s">
        <v>3113</v>
      </c>
      <c r="B1202" s="5" t="s">
        <v>3114</v>
      </c>
      <c r="C1202" s="5" t="s">
        <v>28</v>
      </c>
      <c r="D1202" s="5" t="s">
        <v>29</v>
      </c>
      <c r="E1202" s="5" t="s">
        <v>152</v>
      </c>
      <c r="F1202" s="9">
        <v>61</v>
      </c>
      <c r="G1202" s="9">
        <v>723</v>
      </c>
      <c r="H1202" s="5" t="s">
        <v>20</v>
      </c>
      <c r="I1202" s="5" t="s">
        <v>3115</v>
      </c>
      <c r="J1202" s="12" t="str">
        <f>HYPERLINK("https://www.boe.es/gazeta/dias/1807/07/14/pdfs/GMD-1807-61.pdf#page=9","Abrir facsímil")</f>
        <v>Abrir facsímil</v>
      </c>
      <c r="K1202" s="15" t="s">
        <v>22</v>
      </c>
    </row>
    <row r="1203" spans="1:11" ht="42" customHeight="1">
      <c r="A1203" s="4" t="s">
        <v>3116</v>
      </c>
      <c r="B1203" s="5" t="s">
        <v>3117</v>
      </c>
      <c r="C1203" s="5" t="s">
        <v>17</v>
      </c>
      <c r="D1203" s="5" t="s">
        <v>18</v>
      </c>
      <c r="E1203" s="5" t="s">
        <v>152</v>
      </c>
      <c r="F1203" s="9">
        <v>61</v>
      </c>
      <c r="G1203" s="9">
        <v>724</v>
      </c>
      <c r="H1203" s="5" t="s">
        <v>20</v>
      </c>
      <c r="I1203" s="5" t="s">
        <v>3118</v>
      </c>
      <c r="J1203" s="12" t="str">
        <f>HYPERLINK("https://www.boe.es/gazeta/dias/1807/07/14/pdfs/GMD-1807-61.pdf#page=10","Abrir facsímil")</f>
        <v>Abrir facsímil</v>
      </c>
      <c r="K1203" s="15" t="s">
        <v>22</v>
      </c>
    </row>
    <row r="1204" spans="1:11" ht="42" customHeight="1">
      <c r="A1204" s="4" t="s">
        <v>3119</v>
      </c>
      <c r="B1204" s="5" t="s">
        <v>3120</v>
      </c>
      <c r="C1204" s="5" t="s">
        <v>34</v>
      </c>
      <c r="D1204" s="5" t="s">
        <v>35</v>
      </c>
      <c r="E1204" s="5" t="s">
        <v>471</v>
      </c>
      <c r="F1204" s="9">
        <v>51</v>
      </c>
      <c r="G1204" s="9">
        <v>606</v>
      </c>
      <c r="H1204" s="5" t="s">
        <v>20</v>
      </c>
      <c r="I1204" s="5" t="s">
        <v>3121</v>
      </c>
      <c r="J1204" s="12" t="str">
        <f>HYPERLINK("https://www.boe.es/gazeta/dias/1807/06/16/pdfs/GMD-1807-51.pdf#page=8","Abrir facsímil")</f>
        <v>Abrir facsímil</v>
      </c>
      <c r="K1204" s="15" t="s">
        <v>22</v>
      </c>
    </row>
    <row r="1205" spans="1:11" ht="42" customHeight="1">
      <c r="A1205" s="4" t="s">
        <v>3122</v>
      </c>
      <c r="B1205" s="5" t="s">
        <v>3123</v>
      </c>
      <c r="C1205" s="5" t="s">
        <v>28</v>
      </c>
      <c r="D1205" s="5" t="s">
        <v>29</v>
      </c>
      <c r="E1205" s="5" t="s">
        <v>441</v>
      </c>
      <c r="F1205" s="9">
        <v>92</v>
      </c>
      <c r="G1205" s="9">
        <v>1071</v>
      </c>
      <c r="H1205" s="5" t="s">
        <v>20</v>
      </c>
      <c r="I1205" s="5" t="s">
        <v>3124</v>
      </c>
      <c r="J1205" s="12" t="str">
        <f>HYPERLINK("https://www.boe.es/gazeta/dias/1807/10/13/pdfs/GMD-1807-92.pdf#page=11","Abrir facsímil")</f>
        <v>Abrir facsímil</v>
      </c>
      <c r="K1205" s="15" t="s">
        <v>22</v>
      </c>
    </row>
    <row r="1206" spans="1:11" ht="42" customHeight="1">
      <c r="A1206" s="4" t="s">
        <v>3125</v>
      </c>
      <c r="B1206" s="5" t="s">
        <v>3126</v>
      </c>
      <c r="C1206" s="5" t="s">
        <v>24</v>
      </c>
      <c r="D1206" s="5" t="s">
        <v>18</v>
      </c>
      <c r="E1206" s="5" t="s">
        <v>266</v>
      </c>
      <c r="F1206" s="9">
        <v>67</v>
      </c>
      <c r="G1206" s="9">
        <v>775</v>
      </c>
      <c r="H1206" s="5" t="s">
        <v>20</v>
      </c>
      <c r="I1206" s="5" t="s">
        <v>3127</v>
      </c>
      <c r="J1206" s="12" t="str">
        <f>HYPERLINK("https://www.boe.es/gazeta/dias/1807/07/28/pdfs/GMD-1807-67.pdf#page=11","Abrir facsímil")</f>
        <v>Abrir facsímil</v>
      </c>
      <c r="K1206" s="15" t="s">
        <v>22</v>
      </c>
    </row>
    <row r="1207" spans="1:11" ht="42" customHeight="1">
      <c r="A1207" s="4" t="s">
        <v>3125</v>
      </c>
      <c r="B1207" s="5" t="s">
        <v>3126</v>
      </c>
      <c r="C1207" s="5" t="s">
        <v>24</v>
      </c>
      <c r="D1207" s="5" t="s">
        <v>18</v>
      </c>
      <c r="E1207" s="5" t="s">
        <v>221</v>
      </c>
      <c r="F1207" s="9">
        <v>73</v>
      </c>
      <c r="G1207" s="9">
        <v>847</v>
      </c>
      <c r="H1207" s="5" t="s">
        <v>20</v>
      </c>
      <c r="I1207" s="5" t="s">
        <v>3128</v>
      </c>
      <c r="J1207" s="12" t="str">
        <f>HYPERLINK("https://www.boe.es/gazeta/dias/1807/08/14/pdfs/GMD-1807-73.pdf#page=11","Abrir facsímil")</f>
        <v>Abrir facsímil</v>
      </c>
      <c r="K1207" s="15" t="s">
        <v>22</v>
      </c>
    </row>
    <row r="1208" spans="1:11" ht="42" customHeight="1">
      <c r="A1208" s="4" t="s">
        <v>3125</v>
      </c>
      <c r="B1208" s="5" t="s">
        <v>3126</v>
      </c>
      <c r="C1208" s="5" t="s">
        <v>24</v>
      </c>
      <c r="D1208" s="5" t="s">
        <v>18</v>
      </c>
      <c r="E1208" s="5" t="s">
        <v>441</v>
      </c>
      <c r="F1208" s="9">
        <v>92</v>
      </c>
      <c r="G1208" s="9">
        <v>1071</v>
      </c>
      <c r="H1208" s="5" t="s">
        <v>20</v>
      </c>
      <c r="I1208" s="5" t="s">
        <v>3129</v>
      </c>
      <c r="J1208" s="12" t="str">
        <f>HYPERLINK("https://www.boe.es/gazeta/dias/1807/10/13/pdfs/GMD-1807-92.pdf#page=11","Abrir facsímil")</f>
        <v>Abrir facsímil</v>
      </c>
      <c r="K1208" s="15" t="s">
        <v>22</v>
      </c>
    </row>
    <row r="1209" spans="1:11" ht="42" customHeight="1">
      <c r="A1209" s="4" t="s">
        <v>3130</v>
      </c>
      <c r="B1209" s="5" t="s">
        <v>3131</v>
      </c>
      <c r="C1209" s="5" t="s">
        <v>28</v>
      </c>
      <c r="D1209" s="5" t="s">
        <v>29</v>
      </c>
      <c r="E1209" s="5" t="s">
        <v>65</v>
      </c>
      <c r="F1209" s="9">
        <v>52</v>
      </c>
      <c r="G1209" s="9">
        <v>625</v>
      </c>
      <c r="H1209" s="5" t="s">
        <v>20</v>
      </c>
      <c r="I1209" s="5" t="s">
        <v>3132</v>
      </c>
      <c r="J1209" s="12" t="str">
        <f>HYPERLINK("https://www.boe.es/gazeta/dias/1807/06/19/pdfs/GMD-1807-52.pdf#page=15","Abrir facsímil")</f>
        <v>Abrir facsímil</v>
      </c>
      <c r="K1209" s="15" t="s">
        <v>22</v>
      </c>
    </row>
    <row r="1210" spans="1:11" ht="42" customHeight="1">
      <c r="A1210" s="4" t="s">
        <v>3133</v>
      </c>
      <c r="B1210" s="5" t="s">
        <v>3134</v>
      </c>
      <c r="C1210" s="5" t="s">
        <v>34</v>
      </c>
      <c r="D1210" s="5" t="s">
        <v>35</v>
      </c>
      <c r="E1210" s="5" t="s">
        <v>51</v>
      </c>
      <c r="F1210" s="9">
        <v>62</v>
      </c>
      <c r="G1210" s="9">
        <v>732</v>
      </c>
      <c r="H1210" s="5" t="s">
        <v>20</v>
      </c>
      <c r="I1210" s="5" t="s">
        <v>3135</v>
      </c>
      <c r="J1210" s="12" t="str">
        <f>HYPERLINK("https://www.boe.es/gazeta/dias/1807/07/17/pdfs/GMD-1807-62.pdf#page=6","Abrir facsímil")</f>
        <v>Abrir facsímil</v>
      </c>
      <c r="K1210" s="15" t="s">
        <v>22</v>
      </c>
    </row>
    <row r="1211" spans="1:11" ht="42" customHeight="1">
      <c r="A1211" s="4" t="s">
        <v>3136</v>
      </c>
      <c r="B1211" s="5" t="s">
        <v>3137</v>
      </c>
      <c r="C1211" s="5" t="s">
        <v>89</v>
      </c>
      <c r="D1211" s="5" t="s">
        <v>90</v>
      </c>
      <c r="E1211" s="5" t="s">
        <v>1962</v>
      </c>
      <c r="F1211" s="9" t="s">
        <v>1963</v>
      </c>
      <c r="G1211" s="9">
        <v>764</v>
      </c>
      <c r="H1211" s="5" t="s">
        <v>20</v>
      </c>
      <c r="I1211" s="5" t="s">
        <v>3138</v>
      </c>
      <c r="J1211" s="12" t="str">
        <f>HYPERLINK("https://www.boe.es/gazeta/dias/1807/07/26/pdfs/GMD-1807-66E.pdf#page=2","Abrir facsímil")</f>
        <v>Abrir facsímil</v>
      </c>
      <c r="K1211" s="15" t="s">
        <v>22</v>
      </c>
    </row>
    <row r="1212" spans="1:11" ht="42" customHeight="1">
      <c r="A1212" s="4" t="s">
        <v>3136</v>
      </c>
      <c r="B1212" s="5" t="s">
        <v>3137</v>
      </c>
      <c r="C1212" s="5" t="s">
        <v>28</v>
      </c>
      <c r="D1212" s="5" t="s">
        <v>29</v>
      </c>
      <c r="E1212" s="5" t="s">
        <v>62</v>
      </c>
      <c r="F1212" s="9">
        <v>68</v>
      </c>
      <c r="G1212" s="9">
        <v>781</v>
      </c>
      <c r="H1212" s="5" t="s">
        <v>20</v>
      </c>
      <c r="I1212" s="5" t="s">
        <v>3139</v>
      </c>
      <c r="J1212" s="12" t="str">
        <f>HYPERLINK("https://www.boe.es/gazeta/dias/1807/07/31/pdfs/GMD-1807-68.pdf#page=5","Abrir facsímil")</f>
        <v>Abrir facsímil</v>
      </c>
      <c r="K1212" s="15" t="s">
        <v>22</v>
      </c>
    </row>
    <row r="1213" spans="1:11" ht="42" customHeight="1">
      <c r="A1213" s="4" t="s">
        <v>3140</v>
      </c>
      <c r="B1213" s="5" t="s">
        <v>3141</v>
      </c>
      <c r="C1213" s="5" t="s">
        <v>28</v>
      </c>
      <c r="D1213" s="5" t="s">
        <v>29</v>
      </c>
      <c r="E1213" s="5" t="s">
        <v>106</v>
      </c>
      <c r="F1213" s="9">
        <v>39</v>
      </c>
      <c r="G1213" s="9">
        <v>470</v>
      </c>
      <c r="H1213" s="5" t="s">
        <v>20</v>
      </c>
      <c r="I1213" s="5" t="s">
        <v>3142</v>
      </c>
      <c r="J1213" s="12" t="str">
        <f>HYPERLINK("https://www.boe.es/gazeta/dias/1807/05/05/pdfs/GMD-1807-39.pdf#page=12","Abrir facsímil")</f>
        <v>Abrir facsímil</v>
      </c>
      <c r="K1213" s="15" t="s">
        <v>22</v>
      </c>
    </row>
    <row r="1214" spans="1:11" ht="42" customHeight="1">
      <c r="A1214" s="4" t="s">
        <v>3143</v>
      </c>
      <c r="B1214" s="5" t="s">
        <v>3144</v>
      </c>
      <c r="C1214" s="5" t="s">
        <v>34</v>
      </c>
      <c r="D1214" s="5" t="s">
        <v>35</v>
      </c>
      <c r="E1214" s="5" t="s">
        <v>139</v>
      </c>
      <c r="F1214" s="9">
        <v>110</v>
      </c>
      <c r="G1214" s="9">
        <v>1286</v>
      </c>
      <c r="H1214" s="5" t="s">
        <v>20</v>
      </c>
      <c r="I1214" s="5" t="s">
        <v>3145</v>
      </c>
      <c r="J1214" s="12" t="str">
        <f>HYPERLINK("https://www.boe.es/gazeta/dias/1807/12/11/pdfs/GMD-1807-110.pdf#page=10","Abrir facsímil")</f>
        <v>Abrir facsímil</v>
      </c>
      <c r="K1214" s="15" t="s">
        <v>22</v>
      </c>
    </row>
    <row r="1215" spans="1:11" ht="42" customHeight="1">
      <c r="A1215" s="4" t="s">
        <v>3146</v>
      </c>
      <c r="B1215" s="5" t="s">
        <v>3147</v>
      </c>
      <c r="C1215" s="5" t="s">
        <v>89</v>
      </c>
      <c r="D1215" s="5" t="s">
        <v>90</v>
      </c>
      <c r="E1215" s="5" t="s">
        <v>327</v>
      </c>
      <c r="F1215" s="9">
        <v>108</v>
      </c>
      <c r="G1215" s="9">
        <v>1264</v>
      </c>
      <c r="H1215" s="5" t="s">
        <v>20</v>
      </c>
      <c r="I1215" s="5" t="s">
        <v>3148</v>
      </c>
      <c r="J1215" s="12" t="str">
        <f>HYPERLINK("https://www.boe.es/gazeta/dias/1807/12/04/pdfs/GMD-1807-108.pdf#page=12","Abrir facsímil")</f>
        <v>Abrir facsímil</v>
      </c>
      <c r="K1215" s="15" t="s">
        <v>22</v>
      </c>
    </row>
    <row r="1216" spans="1:11" ht="42" customHeight="1">
      <c r="A1216" s="4" t="s">
        <v>3149</v>
      </c>
      <c r="B1216" s="5" t="s">
        <v>3150</v>
      </c>
      <c r="C1216" s="5" t="s">
        <v>24</v>
      </c>
      <c r="D1216" s="5" t="s">
        <v>18</v>
      </c>
      <c r="E1216" s="5" t="s">
        <v>1354</v>
      </c>
      <c r="F1216" s="9">
        <v>83</v>
      </c>
      <c r="G1216" s="9">
        <v>971</v>
      </c>
      <c r="H1216" s="5" t="s">
        <v>20</v>
      </c>
      <c r="I1216" s="5" t="s">
        <v>3151</v>
      </c>
      <c r="J1216" s="12" t="str">
        <f>HYPERLINK("https://www.boe.es/gazeta/dias/1807/09/18/pdfs/GMD-1807-83.pdf#page=11","Abrir facsímil")</f>
        <v>Abrir facsímil</v>
      </c>
      <c r="K1216" s="15" t="s">
        <v>22</v>
      </c>
    </row>
    <row r="1217" spans="1:11" ht="42" customHeight="1">
      <c r="A1217" s="4" t="s">
        <v>3152</v>
      </c>
      <c r="B1217" s="5" t="s">
        <v>3153</v>
      </c>
      <c r="C1217" s="5" t="s">
        <v>28</v>
      </c>
      <c r="D1217" s="5" t="s">
        <v>29</v>
      </c>
      <c r="E1217" s="5" t="s">
        <v>104</v>
      </c>
      <c r="F1217" s="9">
        <v>25</v>
      </c>
      <c r="G1217" s="9">
        <v>300</v>
      </c>
      <c r="H1217" s="5" t="s">
        <v>20</v>
      </c>
      <c r="I1217" s="5" t="s">
        <v>3154</v>
      </c>
      <c r="J1217" s="12" t="str">
        <f>HYPERLINK("https://www.boe.es/gazeta/dias/1807/03/17/pdfs/GMD-1807-25.pdf#page=8","Abrir facsímil")</f>
        <v>Abrir facsímil</v>
      </c>
      <c r="K1217" s="15" t="s">
        <v>22</v>
      </c>
    </row>
    <row r="1218" spans="1:11" ht="42" customHeight="1">
      <c r="A1218" s="4" t="s">
        <v>3155</v>
      </c>
      <c r="B1218" s="5" t="s">
        <v>3156</v>
      </c>
      <c r="C1218" s="5" t="s">
        <v>28</v>
      </c>
      <c r="D1218" s="5" t="s">
        <v>29</v>
      </c>
      <c r="E1218" s="5" t="s">
        <v>572</v>
      </c>
      <c r="F1218" s="9">
        <v>14</v>
      </c>
      <c r="G1218" s="9">
        <v>164</v>
      </c>
      <c r="H1218" s="5" t="s">
        <v>20</v>
      </c>
      <c r="I1218" s="5" t="s">
        <v>3157</v>
      </c>
      <c r="J1218" s="12" t="str">
        <f>HYPERLINK("https://www.boe.es/gazeta/dias/1807/02/10/pdfs/GMD-1807-14.pdf#page=12","Abrir facsímil")</f>
        <v>Abrir facsímil</v>
      </c>
      <c r="K1218" s="15" t="s">
        <v>22</v>
      </c>
    </row>
    <row r="1219" spans="1:11" ht="42" customHeight="1">
      <c r="A1219" s="4" t="s">
        <v>3158</v>
      </c>
      <c r="B1219" s="5" t="s">
        <v>3159</v>
      </c>
      <c r="C1219" s="5" t="s">
        <v>34</v>
      </c>
      <c r="D1219" s="5" t="s">
        <v>35</v>
      </c>
      <c r="E1219" s="5" t="s">
        <v>62</v>
      </c>
      <c r="F1219" s="9">
        <v>68</v>
      </c>
      <c r="G1219" s="9">
        <v>784</v>
      </c>
      <c r="H1219" s="5" t="s">
        <v>20</v>
      </c>
      <c r="I1219" s="5" t="s">
        <v>3160</v>
      </c>
      <c r="J1219" s="12" t="str">
        <f>HYPERLINK("https://www.boe.es/gazeta/dias/1807/07/31/pdfs/GMD-1807-68.pdf#page=8","Abrir facsímil")</f>
        <v>Abrir facsímil</v>
      </c>
      <c r="K1219" s="15" t="s">
        <v>22</v>
      </c>
    </row>
    <row r="1220" spans="1:11" ht="42" customHeight="1">
      <c r="A1220" s="4" t="s">
        <v>3161</v>
      </c>
      <c r="B1220" s="5" t="s">
        <v>3162</v>
      </c>
      <c r="C1220" s="5" t="s">
        <v>34</v>
      </c>
      <c r="D1220" s="5" t="s">
        <v>35</v>
      </c>
      <c r="E1220" s="5" t="s">
        <v>62</v>
      </c>
      <c r="F1220" s="9">
        <v>68</v>
      </c>
      <c r="G1220" s="9">
        <v>784</v>
      </c>
      <c r="H1220" s="5" t="s">
        <v>20</v>
      </c>
      <c r="I1220" s="5" t="s">
        <v>3163</v>
      </c>
      <c r="J1220" s="12" t="str">
        <f>HYPERLINK("https://www.boe.es/gazeta/dias/1807/07/31/pdfs/GMD-1807-68.pdf#page=8","Abrir facsímil")</f>
        <v>Abrir facsímil</v>
      </c>
      <c r="K1220" s="15" t="s">
        <v>22</v>
      </c>
    </row>
    <row r="1221" spans="1:11" ht="42" customHeight="1">
      <c r="A1221" s="4" t="s">
        <v>3164</v>
      </c>
      <c r="B1221" s="5" t="s">
        <v>3165</v>
      </c>
      <c r="C1221" s="5" t="s">
        <v>17</v>
      </c>
      <c r="D1221" s="5" t="s">
        <v>18</v>
      </c>
      <c r="E1221" s="5" t="s">
        <v>296</v>
      </c>
      <c r="F1221" s="9">
        <v>102</v>
      </c>
      <c r="G1221" s="9">
        <v>1189</v>
      </c>
      <c r="H1221" s="5" t="s">
        <v>20</v>
      </c>
      <c r="I1221" s="5" t="s">
        <v>3166</v>
      </c>
      <c r="J1221" s="12" t="str">
        <f>HYPERLINK("https://www.boe.es/gazeta/dias/1807/11/17/pdfs/GMD-1807-102.pdf#page=9","Abrir facsímil")</f>
        <v>Abrir facsímil</v>
      </c>
      <c r="K1221" s="15" t="s">
        <v>22</v>
      </c>
    </row>
    <row r="1222" spans="1:11" ht="42" customHeight="1">
      <c r="A1222" s="4" t="s">
        <v>3167</v>
      </c>
      <c r="B1222" s="5" t="s">
        <v>3168</v>
      </c>
      <c r="C1222" s="5" t="s">
        <v>28</v>
      </c>
      <c r="D1222" s="5" t="s">
        <v>29</v>
      </c>
      <c r="E1222" s="5" t="s">
        <v>1340</v>
      </c>
      <c r="F1222" s="9">
        <v>114</v>
      </c>
      <c r="G1222" s="9">
        <v>1328</v>
      </c>
      <c r="H1222" s="5" t="s">
        <v>20</v>
      </c>
      <c r="I1222" s="5" t="s">
        <v>3169</v>
      </c>
      <c r="J1222" s="12" t="str">
        <f>HYPERLINK("https://www.boe.es/gazeta/dias/1807/12/25/pdfs/GMD-1807-114.pdf#page=4","Abrir facsímil")</f>
        <v>Abrir facsímil</v>
      </c>
      <c r="K1222" s="15" t="s">
        <v>22</v>
      </c>
    </row>
    <row r="1223" spans="1:11" ht="42" customHeight="1">
      <c r="A1223" s="4" t="s">
        <v>3170</v>
      </c>
      <c r="B1223" s="5" t="s">
        <v>3171</v>
      </c>
      <c r="C1223" s="5" t="s">
        <v>28</v>
      </c>
      <c r="D1223" s="5" t="s">
        <v>29</v>
      </c>
      <c r="E1223" s="5" t="s">
        <v>101</v>
      </c>
      <c r="F1223" s="9">
        <v>23</v>
      </c>
      <c r="G1223" s="9">
        <v>275</v>
      </c>
      <c r="H1223" s="5" t="s">
        <v>20</v>
      </c>
      <c r="I1223" s="5" t="s">
        <v>3172</v>
      </c>
      <c r="J1223" s="12" t="str">
        <f>HYPERLINK("https://www.boe.es/gazeta/dias/1807/03/10/pdfs/GMD-1807-23.pdf#page=15","Abrir facsímil")</f>
        <v>Abrir facsímil</v>
      </c>
      <c r="K1223" s="15" t="s">
        <v>22</v>
      </c>
    </row>
    <row r="1224" spans="1:11" ht="42" customHeight="1">
      <c r="A1224" s="4" t="s">
        <v>3170</v>
      </c>
      <c r="B1224" s="5" t="s">
        <v>3171</v>
      </c>
      <c r="C1224" s="5" t="s">
        <v>28</v>
      </c>
      <c r="D1224" s="5" t="s">
        <v>29</v>
      </c>
      <c r="E1224" s="5" t="s">
        <v>666</v>
      </c>
      <c r="F1224" s="9">
        <v>43</v>
      </c>
      <c r="G1224" s="9">
        <v>516</v>
      </c>
      <c r="H1224" s="5" t="s">
        <v>20</v>
      </c>
      <c r="I1224" s="5" t="s">
        <v>3173</v>
      </c>
      <c r="J1224" s="12" t="str">
        <f>HYPERLINK("https://www.boe.es/gazeta/dias/1807/05/19/pdfs/GMD-1807-43.pdf#page=10","Abrir facsímil")</f>
        <v>Abrir facsímil</v>
      </c>
      <c r="K1224" s="15" t="s">
        <v>22</v>
      </c>
    </row>
    <row r="1225" spans="1:11" ht="42" customHeight="1">
      <c r="A1225" s="4" t="s">
        <v>3170</v>
      </c>
      <c r="B1225" s="5" t="s">
        <v>3171</v>
      </c>
      <c r="C1225" s="5" t="s">
        <v>28</v>
      </c>
      <c r="D1225" s="5" t="s">
        <v>29</v>
      </c>
      <c r="E1225" s="5" t="s">
        <v>471</v>
      </c>
      <c r="F1225" s="9">
        <v>51</v>
      </c>
      <c r="G1225" s="9">
        <v>607</v>
      </c>
      <c r="H1225" s="5" t="s">
        <v>20</v>
      </c>
      <c r="I1225" s="5" t="s">
        <v>3174</v>
      </c>
      <c r="J1225" s="12" t="str">
        <f>HYPERLINK("https://www.boe.es/gazeta/dias/1807/06/16/pdfs/GMD-1807-51.pdf#page=9","Abrir facsímil")</f>
        <v>Abrir facsímil</v>
      </c>
      <c r="K1225" s="15" t="s">
        <v>22</v>
      </c>
    </row>
    <row r="1226" spans="1:11" ht="42" customHeight="1">
      <c r="A1226" s="4" t="s">
        <v>3175</v>
      </c>
      <c r="B1226" s="5" t="s">
        <v>3176</v>
      </c>
      <c r="C1226" s="5" t="s">
        <v>28</v>
      </c>
      <c r="D1226" s="5" t="s">
        <v>29</v>
      </c>
      <c r="E1226" s="5" t="s">
        <v>104</v>
      </c>
      <c r="F1226" s="9">
        <v>25</v>
      </c>
      <c r="G1226" s="9">
        <v>304</v>
      </c>
      <c r="H1226" s="5" t="s">
        <v>20</v>
      </c>
      <c r="I1226" s="5" t="s">
        <v>3177</v>
      </c>
      <c r="J1226" s="12" t="str">
        <f>HYPERLINK("https://www.boe.es/gazeta/dias/1807/03/17/pdfs/GMD-1807-25.pdf#page=12","Abrir facsímil")</f>
        <v>Abrir facsímil</v>
      </c>
      <c r="K1226" s="15" t="s">
        <v>22</v>
      </c>
    </row>
    <row r="1227" spans="1:11" ht="42" customHeight="1">
      <c r="A1227" s="4" t="s">
        <v>3178</v>
      </c>
      <c r="B1227" s="5" t="s">
        <v>3179</v>
      </c>
      <c r="C1227" s="5" t="s">
        <v>34</v>
      </c>
      <c r="D1227" s="5" t="s">
        <v>35</v>
      </c>
      <c r="E1227" s="5" t="s">
        <v>561</v>
      </c>
      <c r="F1227" s="9">
        <v>44</v>
      </c>
      <c r="G1227" s="9">
        <v>524</v>
      </c>
      <c r="H1227" s="5" t="s">
        <v>20</v>
      </c>
      <c r="I1227" s="5" t="s">
        <v>3180</v>
      </c>
      <c r="J1227" s="12" t="str">
        <f>HYPERLINK("https://www.boe.es/gazeta/dias/1807/05/22/pdfs/GMD-1807-44.pdf#page=6","Abrir facsímil")</f>
        <v>Abrir facsímil</v>
      </c>
      <c r="K1227" s="15" t="s">
        <v>22</v>
      </c>
    </row>
    <row r="1228" spans="1:11" ht="42" customHeight="1">
      <c r="A1228" s="4" t="s">
        <v>3181</v>
      </c>
      <c r="B1228" s="5" t="s">
        <v>3182</v>
      </c>
      <c r="C1228" s="5" t="s">
        <v>34</v>
      </c>
      <c r="D1228" s="5" t="s">
        <v>35</v>
      </c>
      <c r="E1228" s="5" t="s">
        <v>376</v>
      </c>
      <c r="F1228" s="9">
        <v>19</v>
      </c>
      <c r="G1228" s="9">
        <v>225</v>
      </c>
      <c r="H1228" s="5" t="s">
        <v>20</v>
      </c>
      <c r="I1228" s="5" t="s">
        <v>3183</v>
      </c>
      <c r="J1228" s="12" t="str">
        <f>HYPERLINK("https://www.boe.es/gazeta/dias/1807/02/27/pdfs/GMD-1807-19.pdf#page=9","Abrir facsímil")</f>
        <v>Abrir facsímil</v>
      </c>
      <c r="K1228" s="15" t="s">
        <v>22</v>
      </c>
    </row>
    <row r="1229" spans="1:11" ht="42" customHeight="1">
      <c r="A1229" s="4" t="s">
        <v>3184</v>
      </c>
      <c r="B1229" s="5" t="s">
        <v>3185</v>
      </c>
      <c r="C1229" s="5" t="s">
        <v>34</v>
      </c>
      <c r="D1229" s="5" t="s">
        <v>35</v>
      </c>
      <c r="E1229" s="5" t="s">
        <v>94</v>
      </c>
      <c r="F1229" s="9">
        <v>22</v>
      </c>
      <c r="G1229" s="9">
        <v>256</v>
      </c>
      <c r="H1229" s="5" t="s">
        <v>20</v>
      </c>
      <c r="I1229" s="5" t="s">
        <v>3186</v>
      </c>
      <c r="J1229" s="12" t="str">
        <f>HYPERLINK("https://www.boe.es/gazeta/dias/1807/03/06/pdfs/GMD-1807-22.pdf#page=8","Abrir facsímil")</f>
        <v>Abrir facsímil</v>
      </c>
      <c r="K1229" s="15" t="s">
        <v>22</v>
      </c>
    </row>
    <row r="1230" spans="1:11" ht="42" customHeight="1">
      <c r="A1230" s="4" t="s">
        <v>3187</v>
      </c>
      <c r="B1230" s="5" t="s">
        <v>3188</v>
      </c>
      <c r="C1230" s="5" t="s">
        <v>24</v>
      </c>
      <c r="D1230" s="5" t="s">
        <v>18</v>
      </c>
      <c r="E1230" s="5" t="s">
        <v>149</v>
      </c>
      <c r="F1230" s="9">
        <v>38</v>
      </c>
      <c r="G1230" s="9">
        <v>454</v>
      </c>
      <c r="H1230" s="5" t="s">
        <v>20</v>
      </c>
      <c r="I1230" s="5" t="s">
        <v>3189</v>
      </c>
      <c r="J1230" s="12" t="str">
        <f>HYPERLINK("https://www.boe.es/gazeta/dias/1807/05/01/pdfs/GMD-1807-38.pdf#page=10","Abrir facsímil")</f>
        <v>Abrir facsímil</v>
      </c>
      <c r="K1230" s="15" t="s">
        <v>22</v>
      </c>
    </row>
    <row r="1231" spans="1:11" ht="42" customHeight="1">
      <c r="A1231" s="4" t="s">
        <v>3190</v>
      </c>
      <c r="B1231" s="5" t="s">
        <v>3191</v>
      </c>
      <c r="C1231" s="5" t="s">
        <v>89</v>
      </c>
      <c r="D1231" s="5" t="s">
        <v>90</v>
      </c>
      <c r="E1231" s="5" t="s">
        <v>183</v>
      </c>
      <c r="F1231" s="9">
        <v>1</v>
      </c>
      <c r="G1231" s="9">
        <v>12</v>
      </c>
      <c r="H1231" s="5" t="s">
        <v>20</v>
      </c>
      <c r="I1231" s="5" t="s">
        <v>3192</v>
      </c>
      <c r="J1231" s="12" t="str">
        <f>HYPERLINK("https://www.boe.es/gazeta/dias/1807/01/02/pdfs/GMD-1807-1.pdf#page=12","Abrir facsímil")</f>
        <v>Abrir facsímil</v>
      </c>
      <c r="K1231" s="15" t="s">
        <v>22</v>
      </c>
    </row>
    <row r="1232" spans="1:11" ht="42" customHeight="1">
      <c r="A1232" s="4" t="s">
        <v>3193</v>
      </c>
      <c r="B1232" s="5" t="s">
        <v>3194</v>
      </c>
      <c r="C1232" s="5" t="s">
        <v>24</v>
      </c>
      <c r="D1232" s="5" t="s">
        <v>18</v>
      </c>
      <c r="E1232" s="5" t="s">
        <v>309</v>
      </c>
      <c r="F1232" s="9">
        <v>107</v>
      </c>
      <c r="G1232" s="9">
        <v>1248</v>
      </c>
      <c r="H1232" s="5" t="s">
        <v>20</v>
      </c>
      <c r="I1232" s="5" t="s">
        <v>3195</v>
      </c>
      <c r="J1232" s="12" t="str">
        <f>HYPERLINK("https://www.boe.es/gazeta/dias/1807/12/01/pdfs/GMD-1807-107.pdf#page=8","Abrir facsímil")</f>
        <v>Abrir facsímil</v>
      </c>
      <c r="K1232" s="15" t="s">
        <v>22</v>
      </c>
    </row>
    <row r="1233" spans="1:11" ht="42" customHeight="1">
      <c r="A1233" s="4" t="s">
        <v>3196</v>
      </c>
      <c r="B1233" s="5" t="s">
        <v>3197</v>
      </c>
      <c r="C1233" s="5" t="s">
        <v>89</v>
      </c>
      <c r="D1233" s="5" t="s">
        <v>90</v>
      </c>
      <c r="E1233" s="5" t="s">
        <v>167</v>
      </c>
      <c r="F1233" s="9">
        <v>77</v>
      </c>
      <c r="G1233" s="9">
        <v>896</v>
      </c>
      <c r="H1233" s="5" t="s">
        <v>20</v>
      </c>
      <c r="I1233" s="5" t="s">
        <v>3198</v>
      </c>
      <c r="J1233" s="12" t="str">
        <f>HYPERLINK("https://www.boe.es/gazeta/dias/1807/08/28/pdfs/GMD-1807-77.pdf#page=12","Abrir facsímil")</f>
        <v>Abrir facsímil</v>
      </c>
      <c r="K1233" s="15" t="s">
        <v>22</v>
      </c>
    </row>
    <row r="1234" spans="1:11" ht="42" customHeight="1">
      <c r="A1234" s="4" t="s">
        <v>3199</v>
      </c>
      <c r="B1234" s="5" t="s">
        <v>3200</v>
      </c>
      <c r="C1234" s="5" t="s">
        <v>34</v>
      </c>
      <c r="D1234" s="5" t="s">
        <v>35</v>
      </c>
      <c r="E1234" s="5" t="s">
        <v>186</v>
      </c>
      <c r="F1234" s="9">
        <v>72</v>
      </c>
      <c r="G1234" s="9">
        <v>829</v>
      </c>
      <c r="H1234" s="5" t="s">
        <v>20</v>
      </c>
      <c r="I1234" s="5" t="s">
        <v>3201</v>
      </c>
      <c r="J1234" s="12" t="str">
        <f>HYPERLINK("https://www.boe.es/gazeta/dias/1807/08/11/pdfs/GMD-1807-72.pdf#page=9","Abrir facsímil")</f>
        <v>Abrir facsímil</v>
      </c>
      <c r="K1234" s="15" t="s">
        <v>22</v>
      </c>
    </row>
    <row r="1235" spans="1:11" ht="42" customHeight="1">
      <c r="A1235" s="4" t="s">
        <v>3202</v>
      </c>
      <c r="B1235" s="5" t="s">
        <v>3203</v>
      </c>
      <c r="C1235" s="5" t="s">
        <v>89</v>
      </c>
      <c r="D1235" s="5" t="s">
        <v>90</v>
      </c>
      <c r="E1235" s="5" t="s">
        <v>654</v>
      </c>
      <c r="F1235" s="9">
        <v>94</v>
      </c>
      <c r="G1235" s="9">
        <v>1095</v>
      </c>
      <c r="H1235" s="5" t="s">
        <v>20</v>
      </c>
      <c r="I1235" s="5" t="s">
        <v>3204</v>
      </c>
      <c r="J1235" s="12" t="str">
        <f>HYPERLINK("https://www.boe.es/gazeta/dias/1807/10/20/pdfs/GMD-1807-94.pdf#page=11","Abrir facsímil")</f>
        <v>Abrir facsímil</v>
      </c>
      <c r="K1235" s="15" t="s">
        <v>22</v>
      </c>
    </row>
    <row r="1236" spans="1:11" ht="42" customHeight="1">
      <c r="A1236" s="4" t="s">
        <v>3205</v>
      </c>
      <c r="B1236" s="5" t="s">
        <v>3206</v>
      </c>
      <c r="C1236" s="5" t="s">
        <v>34</v>
      </c>
      <c r="D1236" s="5" t="s">
        <v>35</v>
      </c>
      <c r="E1236" s="5" t="s">
        <v>376</v>
      </c>
      <c r="F1236" s="9">
        <v>19</v>
      </c>
      <c r="G1236" s="9">
        <v>228</v>
      </c>
      <c r="H1236" s="5" t="s">
        <v>20</v>
      </c>
      <c r="I1236" s="5" t="s">
        <v>3207</v>
      </c>
      <c r="J1236" s="12" t="str">
        <f>HYPERLINK("https://www.boe.es/gazeta/dias/1807/02/27/pdfs/GMD-1807-19.pdf#page=12","Abrir facsímil")</f>
        <v>Abrir facsímil</v>
      </c>
      <c r="K1236" s="15" t="s">
        <v>22</v>
      </c>
    </row>
    <row r="1237" spans="1:11" ht="42" customHeight="1">
      <c r="A1237" s="4" t="s">
        <v>3208</v>
      </c>
      <c r="B1237" s="5" t="s">
        <v>3209</v>
      </c>
      <c r="C1237" s="5" t="s">
        <v>28</v>
      </c>
      <c r="D1237" s="5" t="s">
        <v>29</v>
      </c>
      <c r="E1237" s="5" t="s">
        <v>106</v>
      </c>
      <c r="F1237" s="9">
        <v>39</v>
      </c>
      <c r="G1237" s="9">
        <v>469</v>
      </c>
      <c r="H1237" s="5" t="s">
        <v>20</v>
      </c>
      <c r="I1237" s="5" t="s">
        <v>3210</v>
      </c>
      <c r="J1237" s="12" t="str">
        <f>HYPERLINK("https://www.boe.es/gazeta/dias/1807/05/05/pdfs/GMD-1807-39.pdf#page=11","Abrir facsímil")</f>
        <v>Abrir facsímil</v>
      </c>
      <c r="K1237" s="15" t="s">
        <v>22</v>
      </c>
    </row>
    <row r="1238" spans="1:11" ht="42" customHeight="1">
      <c r="A1238" s="4" t="s">
        <v>3208</v>
      </c>
      <c r="B1238" s="5" t="s">
        <v>3209</v>
      </c>
      <c r="C1238" s="5" t="s">
        <v>34</v>
      </c>
      <c r="D1238" s="5" t="s">
        <v>35</v>
      </c>
      <c r="E1238" s="5" t="s">
        <v>65</v>
      </c>
      <c r="F1238" s="9">
        <v>52</v>
      </c>
      <c r="G1238" s="9">
        <v>626</v>
      </c>
      <c r="H1238" s="5" t="s">
        <v>20</v>
      </c>
      <c r="I1238" s="5" t="s">
        <v>3211</v>
      </c>
      <c r="J1238" s="12" t="str">
        <f>HYPERLINK("https://www.boe.es/gazeta/dias/1807/06/19/pdfs/GMD-1807-52.pdf#page=16","Abrir facsímil")</f>
        <v>Abrir facsímil</v>
      </c>
      <c r="K1238" s="15" t="s">
        <v>22</v>
      </c>
    </row>
    <row r="1239" spans="1:11" ht="42" customHeight="1">
      <c r="A1239" s="4" t="s">
        <v>3208</v>
      </c>
      <c r="B1239" s="5" t="s">
        <v>3209</v>
      </c>
      <c r="C1239" s="5" t="s">
        <v>89</v>
      </c>
      <c r="D1239" s="5" t="s">
        <v>90</v>
      </c>
      <c r="E1239" s="5" t="s">
        <v>186</v>
      </c>
      <c r="F1239" s="9">
        <v>72</v>
      </c>
      <c r="G1239" s="9">
        <v>836</v>
      </c>
      <c r="H1239" s="5" t="s">
        <v>20</v>
      </c>
      <c r="I1239" s="5" t="s">
        <v>3212</v>
      </c>
      <c r="J1239" s="12" t="str">
        <f>HYPERLINK("https://www.boe.es/gazeta/dias/1807/08/11/pdfs/GMD-1807-72.pdf#page=16","Abrir facsímil")</f>
        <v>Abrir facsímil</v>
      </c>
      <c r="K1239" s="15" t="s">
        <v>22</v>
      </c>
    </row>
    <row r="1240" spans="1:11" ht="42" customHeight="1">
      <c r="A1240" s="4" t="s">
        <v>3208</v>
      </c>
      <c r="B1240" s="5" t="s">
        <v>3209</v>
      </c>
      <c r="C1240" s="5" t="s">
        <v>89</v>
      </c>
      <c r="D1240" s="5" t="s">
        <v>90</v>
      </c>
      <c r="E1240" s="5" t="s">
        <v>384</v>
      </c>
      <c r="F1240" s="9">
        <v>111</v>
      </c>
      <c r="G1240" s="9">
        <v>1300</v>
      </c>
      <c r="H1240" s="5" t="s">
        <v>20</v>
      </c>
      <c r="I1240" s="5" t="s">
        <v>3213</v>
      </c>
      <c r="J1240" s="12" t="str">
        <f>HYPERLINK("https://www.boe.es/gazeta/dias/1807/12/15/pdfs/GMD-1807-111.pdf#page=12","Abrir facsímil")</f>
        <v>Abrir facsímil</v>
      </c>
      <c r="K1240" s="15" t="s">
        <v>22</v>
      </c>
    </row>
    <row r="1241" spans="1:11" ht="42" customHeight="1">
      <c r="A1241" s="4" t="s">
        <v>3208</v>
      </c>
      <c r="B1241" s="5" t="s">
        <v>3209</v>
      </c>
      <c r="C1241" s="5" t="s">
        <v>17</v>
      </c>
      <c r="D1241" s="5" t="s">
        <v>18</v>
      </c>
      <c r="E1241" s="5" t="s">
        <v>361</v>
      </c>
      <c r="F1241" s="9">
        <v>113</v>
      </c>
      <c r="G1241" s="9">
        <v>1324</v>
      </c>
      <c r="H1241" s="5" t="s">
        <v>20</v>
      </c>
      <c r="I1241" s="5" t="s">
        <v>3214</v>
      </c>
      <c r="J1241" s="12" t="str">
        <f>HYPERLINK("https://www.boe.es/gazeta/dias/1807/12/22/pdfs/GMD-1807-113.pdf#page=12","Abrir facsímil")</f>
        <v>Abrir facsímil</v>
      </c>
      <c r="K1241" s="15" t="s">
        <v>22</v>
      </c>
    </row>
    <row r="1242" spans="1:11" ht="42" customHeight="1">
      <c r="A1242" s="4" t="s">
        <v>3215</v>
      </c>
      <c r="B1242" s="5" t="s">
        <v>3216</v>
      </c>
      <c r="C1242" s="5" t="s">
        <v>28</v>
      </c>
      <c r="D1242" s="5" t="s">
        <v>29</v>
      </c>
      <c r="E1242" s="5" t="s">
        <v>179</v>
      </c>
      <c r="F1242" s="9">
        <v>100</v>
      </c>
      <c r="G1242" s="9">
        <v>1165</v>
      </c>
      <c r="H1242" s="5" t="s">
        <v>20</v>
      </c>
      <c r="I1242" s="5" t="s">
        <v>3217</v>
      </c>
      <c r="J1242" s="12" t="str">
        <f>HYPERLINK("https://www.boe.es/gazeta/dias/1807/11/10/pdfs/GMD-1807-100.pdf#page=9","Abrir facsímil")</f>
        <v>Abrir facsímil</v>
      </c>
      <c r="K1242" s="15" t="s">
        <v>22</v>
      </c>
    </row>
    <row r="1243" spans="1:11" ht="42" customHeight="1">
      <c r="A1243" s="4" t="s">
        <v>3218</v>
      </c>
      <c r="B1243" s="5" t="s">
        <v>3219</v>
      </c>
      <c r="C1243" s="5" t="s">
        <v>28</v>
      </c>
      <c r="D1243" s="5" t="s">
        <v>29</v>
      </c>
      <c r="E1243" s="5" t="s">
        <v>498</v>
      </c>
      <c r="F1243" s="9">
        <v>32</v>
      </c>
      <c r="G1243" s="9">
        <v>380</v>
      </c>
      <c r="H1243" s="5" t="s">
        <v>20</v>
      </c>
      <c r="I1243" s="5" t="s">
        <v>3220</v>
      </c>
      <c r="J1243" s="12" t="str">
        <f>HYPERLINK("https://www.boe.es/gazeta/dias/1807/04/10/pdfs/GMD-1807-32.pdf#page=8","Abrir facsímil")</f>
        <v>Abrir facsímil</v>
      </c>
      <c r="K1243" s="15" t="s">
        <v>22</v>
      </c>
    </row>
    <row r="1244" spans="1:11" ht="42" customHeight="1">
      <c r="A1244" s="4" t="s">
        <v>3221</v>
      </c>
      <c r="B1244" s="5" t="s">
        <v>3222</v>
      </c>
      <c r="C1244" s="5" t="s">
        <v>34</v>
      </c>
      <c r="D1244" s="5" t="s">
        <v>35</v>
      </c>
      <c r="E1244" s="5" t="s">
        <v>505</v>
      </c>
      <c r="F1244" s="9">
        <v>47</v>
      </c>
      <c r="G1244" s="9">
        <v>561</v>
      </c>
      <c r="H1244" s="5" t="s">
        <v>20</v>
      </c>
      <c r="I1244" s="5" t="s">
        <v>3223</v>
      </c>
      <c r="J1244" s="12" t="str">
        <f>HYPERLINK("https://www.boe.es/gazeta/dias/1807/06/02/pdfs/GMD-1807-47.pdf#page=7","Abrir facsímil")</f>
        <v>Abrir facsímil</v>
      </c>
      <c r="K1244" s="15" t="s">
        <v>22</v>
      </c>
    </row>
    <row r="1245" spans="1:11" ht="42" customHeight="1">
      <c r="A1245" s="4" t="s">
        <v>3224</v>
      </c>
      <c r="B1245" s="5" t="s">
        <v>3225</v>
      </c>
      <c r="C1245" s="5" t="s">
        <v>89</v>
      </c>
      <c r="D1245" s="5" t="s">
        <v>90</v>
      </c>
      <c r="E1245" s="5" t="s">
        <v>296</v>
      </c>
      <c r="F1245" s="9">
        <v>102</v>
      </c>
      <c r="G1245" s="9">
        <v>1191</v>
      </c>
      <c r="H1245" s="5" t="s">
        <v>20</v>
      </c>
      <c r="I1245" s="5" t="s">
        <v>3226</v>
      </c>
      <c r="J1245" s="12" t="str">
        <f>HYPERLINK("https://www.boe.es/gazeta/dias/1807/11/17/pdfs/GMD-1807-102.pdf#page=11","Abrir facsímil")</f>
        <v>Abrir facsímil</v>
      </c>
      <c r="K1245" s="15" t="s">
        <v>22</v>
      </c>
    </row>
    <row r="1246" spans="1:11" ht="42" customHeight="1">
      <c r="A1246" s="4" t="s">
        <v>3227</v>
      </c>
      <c r="B1246" s="5" t="s">
        <v>3228</v>
      </c>
      <c r="C1246" s="5" t="s">
        <v>34</v>
      </c>
      <c r="D1246" s="5" t="s">
        <v>35</v>
      </c>
      <c r="E1246" s="5" t="s">
        <v>282</v>
      </c>
      <c r="F1246" s="9">
        <v>16</v>
      </c>
      <c r="G1246" s="9">
        <v>187</v>
      </c>
      <c r="H1246" s="5" t="s">
        <v>20</v>
      </c>
      <c r="I1246" s="5" t="s">
        <v>3229</v>
      </c>
      <c r="J1246" s="12" t="str">
        <f>HYPERLINK("https://www.boe.es/gazeta/dias/1807/02/17/pdfs/GMD-1807-16.pdf#page=11","Abrir facsímil")</f>
        <v>Abrir facsímil</v>
      </c>
      <c r="K1246" s="15" t="s">
        <v>22</v>
      </c>
    </row>
    <row r="1247" spans="1:11" ht="42" customHeight="1">
      <c r="A1247" s="4" t="s">
        <v>3227</v>
      </c>
      <c r="B1247" s="5" t="s">
        <v>3228</v>
      </c>
      <c r="C1247" s="5" t="s">
        <v>24</v>
      </c>
      <c r="D1247" s="5" t="s">
        <v>18</v>
      </c>
      <c r="E1247" s="5" t="s">
        <v>3230</v>
      </c>
      <c r="F1247" s="9">
        <v>27</v>
      </c>
      <c r="G1247" s="9">
        <v>328</v>
      </c>
      <c r="H1247" s="5" t="s">
        <v>20</v>
      </c>
      <c r="I1247" s="5" t="s">
        <v>3231</v>
      </c>
      <c r="J1247" s="12" t="str">
        <f>HYPERLINK("https://www.boe.es/gazeta/dias/1807/03/24/pdfs/GMD-1807-27.pdf#page=12","Abrir facsímil")</f>
        <v>Abrir facsímil</v>
      </c>
      <c r="K1247" s="15" t="s">
        <v>22</v>
      </c>
    </row>
    <row r="1248" spans="1:11" ht="42" customHeight="1">
      <c r="A1248" s="4" t="s">
        <v>3227</v>
      </c>
      <c r="B1248" s="5" t="s">
        <v>3228</v>
      </c>
      <c r="C1248" s="5" t="s">
        <v>34</v>
      </c>
      <c r="D1248" s="5" t="s">
        <v>35</v>
      </c>
      <c r="E1248" s="5" t="s">
        <v>25</v>
      </c>
      <c r="F1248" s="9">
        <v>45</v>
      </c>
      <c r="G1248" s="9">
        <v>541</v>
      </c>
      <c r="H1248" s="5" t="s">
        <v>20</v>
      </c>
      <c r="I1248" s="5" t="s">
        <v>3232</v>
      </c>
      <c r="J1248" s="12" t="str">
        <f>HYPERLINK("https://www.boe.es/gazeta/dias/1807/05/26/pdfs/GMD-1807-45.pdf#page=11","Abrir facsímil")</f>
        <v>Abrir facsímil</v>
      </c>
      <c r="K1248" s="15" t="s">
        <v>22</v>
      </c>
    </row>
    <row r="1249" spans="1:11" ht="42" customHeight="1">
      <c r="A1249" s="4" t="s">
        <v>3227</v>
      </c>
      <c r="B1249" s="5" t="s">
        <v>3228</v>
      </c>
      <c r="C1249" s="5" t="s">
        <v>34</v>
      </c>
      <c r="D1249" s="5" t="s">
        <v>35</v>
      </c>
      <c r="E1249" s="5" t="s">
        <v>444</v>
      </c>
      <c r="F1249" s="9">
        <v>95</v>
      </c>
      <c r="G1249" s="9">
        <v>1107</v>
      </c>
      <c r="H1249" s="5" t="s">
        <v>20</v>
      </c>
      <c r="I1249" s="5" t="s">
        <v>3233</v>
      </c>
      <c r="J1249" s="12" t="str">
        <f>HYPERLINK("https://www.boe.es/gazeta/dias/1807/10/23/pdfs/GMD-1807-95.pdf#page=11","Abrir facsímil")</f>
        <v>Abrir facsímil</v>
      </c>
      <c r="K1249" s="15" t="s">
        <v>22</v>
      </c>
    </row>
    <row r="1250" spans="1:11" ht="42" customHeight="1">
      <c r="A1250" s="4" t="s">
        <v>3227</v>
      </c>
      <c r="B1250" s="5" t="s">
        <v>3228</v>
      </c>
      <c r="C1250" s="5" t="s">
        <v>34</v>
      </c>
      <c r="D1250" s="5" t="s">
        <v>35</v>
      </c>
      <c r="E1250" s="5" t="s">
        <v>384</v>
      </c>
      <c r="F1250" s="9">
        <v>111</v>
      </c>
      <c r="G1250" s="9">
        <v>1299</v>
      </c>
      <c r="H1250" s="5" t="s">
        <v>20</v>
      </c>
      <c r="I1250" s="5" t="s">
        <v>3234</v>
      </c>
      <c r="J1250" s="12" t="str">
        <f>HYPERLINK("https://www.boe.es/gazeta/dias/1807/12/15/pdfs/GMD-1807-111.pdf#page=11","Abrir facsímil")</f>
        <v>Abrir facsímil</v>
      </c>
      <c r="K1250" s="15" t="s">
        <v>22</v>
      </c>
    </row>
    <row r="1251" spans="1:11" ht="42" customHeight="1">
      <c r="A1251" s="4" t="s">
        <v>3227</v>
      </c>
      <c r="B1251" s="5" t="s">
        <v>3228</v>
      </c>
      <c r="C1251" s="5" t="s">
        <v>34</v>
      </c>
      <c r="D1251" s="5" t="s">
        <v>35</v>
      </c>
      <c r="E1251" s="5" t="s">
        <v>350</v>
      </c>
      <c r="F1251" s="9">
        <v>112</v>
      </c>
      <c r="G1251" s="9">
        <v>1311</v>
      </c>
      <c r="H1251" s="5" t="s">
        <v>20</v>
      </c>
      <c r="I1251" s="5" t="s">
        <v>3235</v>
      </c>
      <c r="J1251" s="12" t="str">
        <f>HYPERLINK("https://www.boe.es/gazeta/dias/1807/12/18/pdfs/GMD-1807-112.pdf#page=11","Abrir facsímil")</f>
        <v>Abrir facsímil</v>
      </c>
      <c r="K1251" s="15" t="s">
        <v>22</v>
      </c>
    </row>
    <row r="1252" spans="1:11" ht="42" customHeight="1">
      <c r="A1252" s="4" t="s">
        <v>3236</v>
      </c>
      <c r="B1252" s="5" t="s">
        <v>3237</v>
      </c>
      <c r="C1252" s="5" t="s">
        <v>34</v>
      </c>
      <c r="D1252" s="5" t="s">
        <v>35</v>
      </c>
      <c r="E1252" s="5" t="s">
        <v>390</v>
      </c>
      <c r="F1252" s="9">
        <v>24</v>
      </c>
      <c r="G1252" s="9">
        <v>287</v>
      </c>
      <c r="H1252" s="5" t="s">
        <v>20</v>
      </c>
      <c r="I1252" s="5" t="s">
        <v>3238</v>
      </c>
      <c r="J1252" s="12" t="str">
        <f>HYPERLINK("https://www.boe.es/gazeta/dias/1807/03/13/pdfs/GMD-1807-24.pdf#page=11","Abrir facsímil")</f>
        <v>Abrir facsímil</v>
      </c>
      <c r="K1252" s="15" t="s">
        <v>22</v>
      </c>
    </row>
    <row r="1253" spans="1:11" ht="42" customHeight="1">
      <c r="A1253" s="4" t="s">
        <v>3239</v>
      </c>
      <c r="B1253" s="5" t="s">
        <v>3240</v>
      </c>
      <c r="C1253" s="5" t="s">
        <v>34</v>
      </c>
      <c r="D1253" s="5" t="s">
        <v>35</v>
      </c>
      <c r="E1253" s="5" t="s">
        <v>575</v>
      </c>
      <c r="F1253" s="9">
        <v>115</v>
      </c>
      <c r="G1253" s="9">
        <v>1340</v>
      </c>
      <c r="H1253" s="5" t="s">
        <v>20</v>
      </c>
      <c r="I1253" s="5" t="s">
        <v>3241</v>
      </c>
      <c r="J1253" s="12" t="str">
        <f>HYPERLINK("https://www.boe.es/gazeta/dias/1807/12/29/pdfs/GMD-1807-115.pdf#page=8","Abrir facsímil")</f>
        <v>Abrir facsímil</v>
      </c>
      <c r="K1253" s="15" t="s">
        <v>22</v>
      </c>
    </row>
    <row r="1254" spans="1:11" ht="42" customHeight="1">
      <c r="A1254" s="4" t="s">
        <v>3242</v>
      </c>
      <c r="B1254" s="5" t="s">
        <v>3243</v>
      </c>
      <c r="C1254" s="5" t="s">
        <v>28</v>
      </c>
      <c r="D1254" s="5" t="s">
        <v>29</v>
      </c>
      <c r="E1254" s="5" t="s">
        <v>575</v>
      </c>
      <c r="F1254" s="9">
        <v>115</v>
      </c>
      <c r="G1254" s="9">
        <v>1339</v>
      </c>
      <c r="H1254" s="5" t="s">
        <v>20</v>
      </c>
      <c r="I1254" s="5" t="s">
        <v>3244</v>
      </c>
      <c r="J1254" s="12" t="str">
        <f>HYPERLINK("https://www.boe.es/gazeta/dias/1807/12/29/pdfs/GMD-1807-115.pdf#page=7","Abrir facsímil")</f>
        <v>Abrir facsímil</v>
      </c>
      <c r="K1254" s="15" t="s">
        <v>22</v>
      </c>
    </row>
    <row r="1255" spans="1:11" ht="42" customHeight="1">
      <c r="A1255" s="4" t="s">
        <v>3245</v>
      </c>
      <c r="B1255" s="5" t="s">
        <v>3246</v>
      </c>
      <c r="C1255" s="5" t="s">
        <v>17</v>
      </c>
      <c r="D1255" s="5" t="s">
        <v>18</v>
      </c>
      <c r="E1255" s="5" t="s">
        <v>176</v>
      </c>
      <c r="F1255" s="9">
        <v>17</v>
      </c>
      <c r="G1255" s="9">
        <v>199</v>
      </c>
      <c r="H1255" s="5" t="s">
        <v>20</v>
      </c>
      <c r="I1255" s="5" t="s">
        <v>3247</v>
      </c>
      <c r="J1255" s="12" t="str">
        <f>HYPERLINK("https://www.boe.es/gazeta/dias/1807/02/20/pdfs/GMD-1807-17.pdf#page=11","Abrir facsímil")</f>
        <v>Abrir facsímil</v>
      </c>
      <c r="K1255" s="15" t="s">
        <v>22</v>
      </c>
    </row>
    <row r="1256" spans="1:11" ht="42" customHeight="1">
      <c r="A1256" s="4" t="s">
        <v>3248</v>
      </c>
      <c r="B1256" s="5" t="s">
        <v>3249</v>
      </c>
      <c r="C1256" s="5" t="s">
        <v>28</v>
      </c>
      <c r="D1256" s="5" t="s">
        <v>29</v>
      </c>
      <c r="E1256" s="5" t="s">
        <v>208</v>
      </c>
      <c r="F1256" s="9">
        <v>42</v>
      </c>
      <c r="G1256" s="9">
        <v>501</v>
      </c>
      <c r="H1256" s="5" t="s">
        <v>20</v>
      </c>
      <c r="I1256" s="5" t="s">
        <v>3250</v>
      </c>
      <c r="J1256" s="12" t="str">
        <f>HYPERLINK("https://www.boe.es/gazeta/dias/1807/05/15/pdfs/GMD-1807-42.pdf#page=7","Abrir facsímil")</f>
        <v>Abrir facsímil</v>
      </c>
      <c r="K1256" s="15" t="s">
        <v>22</v>
      </c>
    </row>
    <row r="1257" spans="1:11" ht="42" customHeight="1">
      <c r="A1257" s="4" t="s">
        <v>3251</v>
      </c>
      <c r="B1257" s="5" t="s">
        <v>3252</v>
      </c>
      <c r="C1257" s="5" t="s">
        <v>17</v>
      </c>
      <c r="D1257" s="5" t="s">
        <v>18</v>
      </c>
      <c r="E1257" s="5" t="s">
        <v>51</v>
      </c>
      <c r="F1257" s="9">
        <v>62</v>
      </c>
      <c r="G1257" s="9">
        <v>734</v>
      </c>
      <c r="H1257" s="5" t="s">
        <v>20</v>
      </c>
      <c r="I1257" s="5" t="s">
        <v>3253</v>
      </c>
      <c r="J1257" s="12" t="str">
        <f>HYPERLINK("https://www.boe.es/gazeta/dias/1807/07/17/pdfs/GMD-1807-62.pdf#page=8","Abrir facsímil")</f>
        <v>Abrir facsímil</v>
      </c>
      <c r="K1257" s="15" t="s">
        <v>22</v>
      </c>
    </row>
    <row r="1258" spans="1:11" ht="42" customHeight="1">
      <c r="A1258" s="4" t="s">
        <v>3254</v>
      </c>
      <c r="B1258" s="5" t="s">
        <v>3255</v>
      </c>
      <c r="C1258" s="5" t="s">
        <v>24</v>
      </c>
      <c r="D1258" s="5" t="s">
        <v>18</v>
      </c>
      <c r="E1258" s="5" t="s">
        <v>441</v>
      </c>
      <c r="F1258" s="9">
        <v>92</v>
      </c>
      <c r="G1258" s="9">
        <v>1070</v>
      </c>
      <c r="H1258" s="5" t="s">
        <v>20</v>
      </c>
      <c r="I1258" s="5" t="s">
        <v>3256</v>
      </c>
      <c r="J1258" s="12" t="str">
        <f>HYPERLINK("https://www.boe.es/gazeta/dias/1807/10/13/pdfs/GMD-1807-92.pdf#page=10","Abrir facsímil")</f>
        <v>Abrir facsímil</v>
      </c>
      <c r="K1258" s="15" t="s">
        <v>22</v>
      </c>
    </row>
    <row r="1259" spans="1:11" ht="42" customHeight="1">
      <c r="A1259" s="4" t="s">
        <v>3257</v>
      </c>
      <c r="B1259" s="5" t="s">
        <v>3258</v>
      </c>
      <c r="C1259" s="5" t="s">
        <v>28</v>
      </c>
      <c r="D1259" s="5" t="s">
        <v>29</v>
      </c>
      <c r="E1259" s="5" t="s">
        <v>390</v>
      </c>
      <c r="F1259" s="9">
        <v>24</v>
      </c>
      <c r="G1259" s="9">
        <v>287</v>
      </c>
      <c r="H1259" s="5" t="s">
        <v>20</v>
      </c>
      <c r="I1259" s="5" t="s">
        <v>3259</v>
      </c>
      <c r="J1259" s="12" t="str">
        <f>HYPERLINK("https://www.boe.es/gazeta/dias/1807/03/13/pdfs/GMD-1807-24.pdf#page=11","Abrir facsímil")</f>
        <v>Abrir facsímil</v>
      </c>
      <c r="K1259" s="15" t="s">
        <v>22</v>
      </c>
    </row>
    <row r="1260" spans="1:11" ht="42" customHeight="1">
      <c r="A1260" s="4" t="s">
        <v>3260</v>
      </c>
      <c r="B1260" s="5" t="s">
        <v>3261</v>
      </c>
      <c r="C1260" s="5" t="s">
        <v>34</v>
      </c>
      <c r="D1260" s="5" t="s">
        <v>35</v>
      </c>
      <c r="E1260" s="5" t="s">
        <v>426</v>
      </c>
      <c r="F1260" s="9">
        <v>93</v>
      </c>
      <c r="G1260" s="9">
        <v>1081</v>
      </c>
      <c r="H1260" s="5" t="s">
        <v>20</v>
      </c>
      <c r="I1260" s="5" t="s">
        <v>3262</v>
      </c>
      <c r="J1260" s="12" t="str">
        <f>HYPERLINK("https://www.boe.es/gazeta/dias/1807/10/16/pdfs/GMD-1807-93.pdf#page=9","Abrir facsímil")</f>
        <v>Abrir facsímil</v>
      </c>
      <c r="K1260" s="15" t="s">
        <v>22</v>
      </c>
    </row>
    <row r="1261" spans="1:11" ht="42" customHeight="1">
      <c r="A1261" s="4" t="s">
        <v>3263</v>
      </c>
      <c r="B1261" s="5" t="s">
        <v>3264</v>
      </c>
      <c r="C1261" s="5" t="s">
        <v>28</v>
      </c>
      <c r="D1261" s="5" t="s">
        <v>29</v>
      </c>
      <c r="E1261" s="5" t="s">
        <v>654</v>
      </c>
      <c r="F1261" s="9">
        <v>94</v>
      </c>
      <c r="G1261" s="9">
        <v>1091</v>
      </c>
      <c r="H1261" s="5" t="s">
        <v>20</v>
      </c>
      <c r="I1261" s="5" t="s">
        <v>3265</v>
      </c>
      <c r="J1261" s="12" t="str">
        <f>HYPERLINK("https://www.boe.es/gazeta/dias/1807/10/20/pdfs/GMD-1807-94.pdf#page=7","Abrir facsímil")</f>
        <v>Abrir facsímil</v>
      </c>
      <c r="K1261" s="15" t="s">
        <v>22</v>
      </c>
    </row>
    <row r="1262" spans="1:11" ht="42" customHeight="1">
      <c r="A1262" s="4" t="s">
        <v>3266</v>
      </c>
      <c r="B1262" s="5" t="s">
        <v>3267</v>
      </c>
      <c r="C1262" s="5" t="s">
        <v>34</v>
      </c>
      <c r="D1262" s="5" t="s">
        <v>35</v>
      </c>
      <c r="E1262" s="5" t="s">
        <v>346</v>
      </c>
      <c r="F1262" s="9">
        <v>21</v>
      </c>
      <c r="G1262" s="9">
        <v>245</v>
      </c>
      <c r="H1262" s="5" t="s">
        <v>20</v>
      </c>
      <c r="I1262" s="5" t="s">
        <v>3268</v>
      </c>
      <c r="J1262" s="12" t="str">
        <f>HYPERLINK("https://www.boe.es/gazeta/dias/1807/03/03/pdfs/GMD-1807-21.pdf#page=9","Abrir facsímil")</f>
        <v>Abrir facsímil</v>
      </c>
      <c r="K1262" s="15" t="s">
        <v>22</v>
      </c>
    </row>
    <row r="1263" spans="1:11" ht="42" customHeight="1">
      <c r="A1263" s="4" t="s">
        <v>3269</v>
      </c>
      <c r="B1263" s="5" t="s">
        <v>3270</v>
      </c>
      <c r="C1263" s="5" t="s">
        <v>28</v>
      </c>
      <c r="D1263" s="5" t="s">
        <v>29</v>
      </c>
      <c r="E1263" s="5" t="s">
        <v>346</v>
      </c>
      <c r="F1263" s="9">
        <v>21</v>
      </c>
      <c r="G1263" s="9">
        <v>246</v>
      </c>
      <c r="H1263" s="5" t="s">
        <v>20</v>
      </c>
      <c r="I1263" s="5" t="s">
        <v>3271</v>
      </c>
      <c r="J1263" s="12" t="str">
        <f>HYPERLINK("https://www.boe.es/gazeta/dias/1807/03/03/pdfs/GMD-1807-21.pdf#page=10","Abrir facsímil")</f>
        <v>Abrir facsímil</v>
      </c>
      <c r="K1263" s="15" t="s">
        <v>22</v>
      </c>
    </row>
    <row r="1264" spans="1:11" ht="42" customHeight="1">
      <c r="A1264" s="4" t="s">
        <v>3272</v>
      </c>
      <c r="B1264" s="5" t="s">
        <v>3273</v>
      </c>
      <c r="C1264" s="5" t="s">
        <v>34</v>
      </c>
      <c r="D1264" s="5" t="s">
        <v>35</v>
      </c>
      <c r="E1264" s="5" t="s">
        <v>666</v>
      </c>
      <c r="F1264" s="9">
        <v>43</v>
      </c>
      <c r="G1264" s="9">
        <v>515</v>
      </c>
      <c r="H1264" s="5" t="s">
        <v>20</v>
      </c>
      <c r="I1264" s="5" t="s">
        <v>3274</v>
      </c>
      <c r="J1264" s="12" t="str">
        <f>HYPERLINK("https://www.boe.es/gazeta/dias/1807/05/19/pdfs/GMD-1807-43.pdf#page=9","Abrir facsímil")</f>
        <v>Abrir facsímil</v>
      </c>
      <c r="K1264" s="15" t="s">
        <v>22</v>
      </c>
    </row>
    <row r="1265" spans="1:11" ht="42" customHeight="1">
      <c r="A1265" s="4" t="s">
        <v>3275</v>
      </c>
      <c r="B1265" s="5" t="s">
        <v>3276</v>
      </c>
      <c r="C1265" s="5" t="s">
        <v>34</v>
      </c>
      <c r="D1265" s="5" t="s">
        <v>35</v>
      </c>
      <c r="E1265" s="5" t="s">
        <v>530</v>
      </c>
      <c r="F1265" s="9">
        <v>79</v>
      </c>
      <c r="G1265" s="9">
        <v>924</v>
      </c>
      <c r="H1265" s="5" t="s">
        <v>20</v>
      </c>
      <c r="I1265" s="5" t="s">
        <v>3277</v>
      </c>
      <c r="J1265" s="12" t="str">
        <f>HYPERLINK("https://www.boe.es/gazeta/dias/1807/09/04/pdfs/GMD-1807-79.pdf#page=16","Abrir facsímil")</f>
        <v>Abrir facsímil</v>
      </c>
      <c r="K1265" s="15" t="s">
        <v>22</v>
      </c>
    </row>
    <row r="1266" spans="1:11" ht="42" customHeight="1">
      <c r="A1266" s="4" t="s">
        <v>3278</v>
      </c>
      <c r="B1266" s="5" t="s">
        <v>3279</v>
      </c>
      <c r="C1266" s="5" t="s">
        <v>89</v>
      </c>
      <c r="D1266" s="5" t="s">
        <v>90</v>
      </c>
      <c r="E1266" s="5" t="s">
        <v>530</v>
      </c>
      <c r="F1266" s="9">
        <v>79</v>
      </c>
      <c r="G1266" s="9">
        <v>924</v>
      </c>
      <c r="H1266" s="5" t="s">
        <v>20</v>
      </c>
      <c r="I1266" s="5" t="s">
        <v>3280</v>
      </c>
      <c r="J1266" s="12" t="str">
        <f>HYPERLINK("https://www.boe.es/gazeta/dias/1807/09/04/pdfs/GMD-1807-79.pdf#page=16","Abrir facsímil")</f>
        <v>Abrir facsímil</v>
      </c>
      <c r="K1266" s="15" t="s">
        <v>22</v>
      </c>
    </row>
    <row r="1267" spans="1:11" ht="42" customHeight="1">
      <c r="A1267" s="4" t="s">
        <v>3281</v>
      </c>
      <c r="B1267" s="5" t="s">
        <v>3282</v>
      </c>
      <c r="C1267" s="5" t="s">
        <v>28</v>
      </c>
      <c r="D1267" s="5" t="s">
        <v>29</v>
      </c>
      <c r="E1267" s="5" t="s">
        <v>46</v>
      </c>
      <c r="F1267" s="9">
        <v>78</v>
      </c>
      <c r="G1267" s="9">
        <v>904</v>
      </c>
      <c r="H1267" s="5" t="s">
        <v>20</v>
      </c>
      <c r="I1267" s="5" t="s">
        <v>3283</v>
      </c>
      <c r="J1267" s="12" t="str">
        <f>HYPERLINK("https://www.boe.es/gazeta/dias/1807/09/01/pdfs/GMD-1807-78.pdf#page=8","Abrir facsímil")</f>
        <v>Abrir facsímil</v>
      </c>
      <c r="K1267" s="15" t="s">
        <v>22</v>
      </c>
    </row>
    <row r="1268" spans="1:11" ht="42" customHeight="1">
      <c r="A1268" s="4" t="s">
        <v>3284</v>
      </c>
      <c r="B1268" s="5" t="s">
        <v>3285</v>
      </c>
      <c r="C1268" s="5" t="s">
        <v>34</v>
      </c>
      <c r="D1268" s="5" t="s">
        <v>35</v>
      </c>
      <c r="E1268" s="5" t="s">
        <v>123</v>
      </c>
      <c r="F1268" s="9">
        <v>70</v>
      </c>
      <c r="G1268" s="9">
        <v>808</v>
      </c>
      <c r="H1268" s="5" t="s">
        <v>20</v>
      </c>
      <c r="I1268" s="5" t="s">
        <v>3286</v>
      </c>
      <c r="J1268" s="12" t="str">
        <f>HYPERLINK("https://www.boe.es/gazeta/dias/1807/08/04/pdfs/GMD-1807-70.pdf#page=12","Abrir facsímil")</f>
        <v>Abrir facsímil</v>
      </c>
      <c r="K1268" s="15" t="s">
        <v>22</v>
      </c>
    </row>
    <row r="1269" spans="1:11" ht="42" customHeight="1">
      <c r="A1269" s="4" t="s">
        <v>3287</v>
      </c>
      <c r="B1269" s="5" t="s">
        <v>3288</v>
      </c>
      <c r="C1269" s="5" t="s">
        <v>17</v>
      </c>
      <c r="D1269" s="5" t="s">
        <v>18</v>
      </c>
      <c r="E1269" s="5" t="s">
        <v>109</v>
      </c>
      <c r="F1269" s="9">
        <v>58</v>
      </c>
      <c r="G1269" s="9">
        <v>688</v>
      </c>
      <c r="H1269" s="5" t="s">
        <v>20</v>
      </c>
      <c r="I1269" s="5" t="s">
        <v>3289</v>
      </c>
      <c r="J1269" s="12" t="str">
        <f>HYPERLINK("https://www.boe.es/gazeta/dias/1807/07/07/pdfs/GMD-1807-58.pdf#page=6","Abrir facsímil")</f>
        <v>Abrir facsímil</v>
      </c>
      <c r="K1269" s="15" t="s">
        <v>22</v>
      </c>
    </row>
    <row r="1270" spans="1:11" ht="42" customHeight="1">
      <c r="A1270" s="4" t="s">
        <v>3290</v>
      </c>
      <c r="B1270" s="5" t="s">
        <v>3291</v>
      </c>
      <c r="C1270" s="5" t="s">
        <v>28</v>
      </c>
      <c r="D1270" s="5" t="s">
        <v>29</v>
      </c>
      <c r="E1270" s="5" t="s">
        <v>123</v>
      </c>
      <c r="F1270" s="9">
        <v>70</v>
      </c>
      <c r="G1270" s="9">
        <v>806</v>
      </c>
      <c r="H1270" s="5" t="s">
        <v>20</v>
      </c>
      <c r="I1270" s="5" t="s">
        <v>3292</v>
      </c>
      <c r="J1270" s="12" t="str">
        <f>HYPERLINK("https://www.boe.es/gazeta/dias/1807/08/04/pdfs/GMD-1807-70.pdf#page=10","Abrir facsímil")</f>
        <v>Abrir facsímil</v>
      </c>
      <c r="K1270" s="15" t="s">
        <v>22</v>
      </c>
    </row>
    <row r="1271" spans="1:11" ht="42" customHeight="1">
      <c r="A1271" s="4" t="s">
        <v>3293</v>
      </c>
      <c r="B1271" s="5" t="s">
        <v>3294</v>
      </c>
      <c r="C1271" s="5" t="s">
        <v>34</v>
      </c>
      <c r="D1271" s="5" t="s">
        <v>35</v>
      </c>
      <c r="E1271" s="5" t="s">
        <v>111</v>
      </c>
      <c r="F1271" s="9">
        <v>90</v>
      </c>
      <c r="G1271" s="9">
        <v>1044</v>
      </c>
      <c r="H1271" s="5" t="s">
        <v>20</v>
      </c>
      <c r="I1271" s="5" t="s">
        <v>3295</v>
      </c>
      <c r="J1271" s="12" t="str">
        <f>HYPERLINK("https://www.boe.es/gazeta/dias/1807/10/06/pdfs/GMD-1807-90.pdf#page=12","Abrir facsímil")</f>
        <v>Abrir facsímil</v>
      </c>
      <c r="K1271" s="15" t="s">
        <v>22</v>
      </c>
    </row>
    <row r="1272" spans="1:11" ht="42" customHeight="1">
      <c r="A1272" s="4" t="s">
        <v>3296</v>
      </c>
      <c r="B1272" s="5" t="s">
        <v>3297</v>
      </c>
      <c r="C1272" s="5" t="s">
        <v>34</v>
      </c>
      <c r="D1272" s="5" t="s">
        <v>35</v>
      </c>
      <c r="E1272" s="5" t="s">
        <v>131</v>
      </c>
      <c r="F1272" s="9">
        <v>28</v>
      </c>
      <c r="G1272" s="9">
        <v>334</v>
      </c>
      <c r="H1272" s="5" t="s">
        <v>20</v>
      </c>
      <c r="I1272" s="5" t="s">
        <v>3298</v>
      </c>
      <c r="J1272" s="12" t="str">
        <f>HYPERLINK("https://www.boe.es/gazeta/dias/1807/03/27/pdfs/GMD-1807-28.pdf#page=6","Abrir facsímil")</f>
        <v>Abrir facsímil</v>
      </c>
      <c r="K1272" s="15" t="s">
        <v>22</v>
      </c>
    </row>
    <row r="1273" spans="1:11" ht="42" customHeight="1">
      <c r="A1273" s="4" t="s">
        <v>3299</v>
      </c>
      <c r="B1273" s="5" t="s">
        <v>3300</v>
      </c>
      <c r="C1273" s="5" t="s">
        <v>28</v>
      </c>
      <c r="D1273" s="5" t="s">
        <v>29</v>
      </c>
      <c r="E1273" s="5" t="s">
        <v>156</v>
      </c>
      <c r="F1273" s="9">
        <v>74</v>
      </c>
      <c r="G1273" s="9">
        <v>854</v>
      </c>
      <c r="H1273" s="5" t="s">
        <v>20</v>
      </c>
      <c r="I1273" s="5" t="s">
        <v>3301</v>
      </c>
      <c r="J1273" s="12" t="str">
        <f>HYPERLINK("https://www.boe.es/gazeta/dias/1807/08/18/pdfs/GMD-1807-74.pdf#page=6","Abrir facsímil")</f>
        <v>Abrir facsímil</v>
      </c>
      <c r="K1273" s="15" t="s">
        <v>22</v>
      </c>
    </row>
    <row r="1274" spans="1:11" ht="42" customHeight="1">
      <c r="A1274" s="4" t="s">
        <v>3302</v>
      </c>
      <c r="B1274" s="5" t="s">
        <v>3303</v>
      </c>
      <c r="C1274" s="5" t="s">
        <v>28</v>
      </c>
      <c r="D1274" s="5" t="s">
        <v>29</v>
      </c>
      <c r="E1274" s="5" t="s">
        <v>422</v>
      </c>
      <c r="F1274" s="9">
        <v>33</v>
      </c>
      <c r="G1274" s="9">
        <v>395</v>
      </c>
      <c r="H1274" s="5" t="s">
        <v>20</v>
      </c>
      <c r="I1274" s="5" t="s">
        <v>3304</v>
      </c>
      <c r="J1274" s="12" t="str">
        <f>HYPERLINK("https://www.boe.es/gazeta/dias/1807/04/14/pdfs/GMD-1807-33.pdf#page=11","Abrir facsímil")</f>
        <v>Abrir facsímil</v>
      </c>
      <c r="K1274" s="15" t="s">
        <v>22</v>
      </c>
    </row>
    <row r="1275" spans="1:11" ht="42" customHeight="1">
      <c r="A1275" s="4" t="s">
        <v>3305</v>
      </c>
      <c r="B1275" s="5" t="s">
        <v>3306</v>
      </c>
      <c r="C1275" s="5" t="s">
        <v>89</v>
      </c>
      <c r="D1275" s="5" t="s">
        <v>90</v>
      </c>
      <c r="E1275" s="5" t="s">
        <v>208</v>
      </c>
      <c r="F1275" s="9">
        <v>42</v>
      </c>
      <c r="G1275" s="9">
        <v>506</v>
      </c>
      <c r="H1275" s="5" t="s">
        <v>20</v>
      </c>
      <c r="I1275" s="5" t="s">
        <v>3307</v>
      </c>
      <c r="J1275" s="12" t="str">
        <f>HYPERLINK("https://www.boe.es/gazeta/dias/1807/05/15/pdfs/GMD-1807-42.pdf#page=12","Abrir facsímil")</f>
        <v>Abrir facsímil</v>
      </c>
      <c r="K1275" s="15" t="s">
        <v>22</v>
      </c>
    </row>
    <row r="1276" spans="1:11" ht="42" customHeight="1">
      <c r="A1276" s="4" t="s">
        <v>3308</v>
      </c>
      <c r="B1276" s="5" t="s">
        <v>3309</v>
      </c>
      <c r="C1276" s="5" t="s">
        <v>34</v>
      </c>
      <c r="D1276" s="5" t="s">
        <v>35</v>
      </c>
      <c r="E1276" s="5" t="s">
        <v>478</v>
      </c>
      <c r="F1276" s="9">
        <v>30</v>
      </c>
      <c r="G1276" s="9">
        <v>358</v>
      </c>
      <c r="H1276" s="5" t="s">
        <v>20</v>
      </c>
      <c r="I1276" s="5" t="s">
        <v>3310</v>
      </c>
      <c r="J1276" s="12" t="str">
        <f>HYPERLINK("https://www.boe.es/gazeta/dias/1807/04/03/pdfs/GMD-1807-30.pdf#page=10","Abrir facsímil")</f>
        <v>Abrir facsímil</v>
      </c>
      <c r="K1276" s="15" t="s">
        <v>22</v>
      </c>
    </row>
    <row r="1277" spans="1:11" ht="42" customHeight="1">
      <c r="A1277" s="4" t="s">
        <v>3311</v>
      </c>
      <c r="B1277" s="5" t="s">
        <v>3312</v>
      </c>
      <c r="C1277" s="5" t="s">
        <v>24</v>
      </c>
      <c r="D1277" s="5" t="s">
        <v>18</v>
      </c>
      <c r="E1277" s="5" t="s">
        <v>215</v>
      </c>
      <c r="F1277" s="9">
        <v>5</v>
      </c>
      <c r="G1277" s="9">
        <v>51</v>
      </c>
      <c r="H1277" s="5" t="s">
        <v>20</v>
      </c>
      <c r="I1277" s="5" t="s">
        <v>3313</v>
      </c>
      <c r="J1277" s="12" t="str">
        <f>HYPERLINK("https://www.boe.es/gazeta/dias/1807/01/16/pdfs/GMD-1807-5.pdf#page=7","Abrir facsímil")</f>
        <v>Abrir facsímil</v>
      </c>
      <c r="K1277" s="15" t="s">
        <v>22</v>
      </c>
    </row>
    <row r="1278" spans="1:11" ht="42" customHeight="1">
      <c r="A1278" s="4" t="s">
        <v>3314</v>
      </c>
      <c r="B1278" s="5" t="s">
        <v>3315</v>
      </c>
      <c r="C1278" s="5" t="s">
        <v>89</v>
      </c>
      <c r="D1278" s="5" t="s">
        <v>90</v>
      </c>
      <c r="E1278" s="5" t="s">
        <v>441</v>
      </c>
      <c r="F1278" s="9">
        <v>92</v>
      </c>
      <c r="G1278" s="9">
        <v>1072</v>
      </c>
      <c r="H1278" s="5" t="s">
        <v>20</v>
      </c>
      <c r="I1278" s="5" t="s">
        <v>3316</v>
      </c>
      <c r="J1278" s="12" t="str">
        <f>HYPERLINK("https://www.boe.es/gazeta/dias/1807/10/13/pdfs/GMD-1807-92.pdf#page=12","Abrir facsímil")</f>
        <v>Abrir facsímil</v>
      </c>
      <c r="K1278" s="15" t="s">
        <v>22</v>
      </c>
    </row>
    <row r="1279" spans="1:11" ht="42" customHeight="1">
      <c r="A1279" s="4" t="s">
        <v>3317</v>
      </c>
      <c r="B1279" s="5" t="s">
        <v>3318</v>
      </c>
      <c r="C1279" s="5" t="s">
        <v>28</v>
      </c>
      <c r="D1279" s="5" t="s">
        <v>29</v>
      </c>
      <c r="E1279" s="5" t="s">
        <v>241</v>
      </c>
      <c r="F1279" s="9">
        <v>76</v>
      </c>
      <c r="G1279" s="9">
        <v>879</v>
      </c>
      <c r="H1279" s="5" t="s">
        <v>20</v>
      </c>
      <c r="I1279" s="5" t="s">
        <v>3319</v>
      </c>
      <c r="J1279" s="12" t="str">
        <f>HYPERLINK("https://www.boe.es/gazeta/dias/1807/08/25/pdfs/GMD-1807-76.pdf#page=7","Abrir facsímil")</f>
        <v>Abrir facsímil</v>
      </c>
      <c r="K1279" s="15" t="s">
        <v>22</v>
      </c>
    </row>
    <row r="1280" spans="1:11" ht="42" customHeight="1">
      <c r="A1280" s="4" t="s">
        <v>3320</v>
      </c>
      <c r="B1280" s="5" t="s">
        <v>3321</v>
      </c>
      <c r="C1280" s="5" t="s">
        <v>34</v>
      </c>
      <c r="D1280" s="5" t="s">
        <v>35</v>
      </c>
      <c r="E1280" s="5" t="s">
        <v>384</v>
      </c>
      <c r="F1280" s="9">
        <v>111</v>
      </c>
      <c r="G1280" s="9">
        <v>1298</v>
      </c>
      <c r="H1280" s="5" t="s">
        <v>20</v>
      </c>
      <c r="I1280" s="5" t="s">
        <v>3322</v>
      </c>
      <c r="J1280" s="12" t="str">
        <f>HYPERLINK("https://www.boe.es/gazeta/dias/1807/12/15/pdfs/GMD-1807-111.pdf#page=10","Abrir facsímil")</f>
        <v>Abrir facsímil</v>
      </c>
      <c r="K1280" s="15" t="s">
        <v>22</v>
      </c>
    </row>
    <row r="1281" spans="1:11" ht="42" customHeight="1">
      <c r="A1281" s="4" t="s">
        <v>3323</v>
      </c>
      <c r="B1281" s="5" t="s">
        <v>3324</v>
      </c>
      <c r="C1281" s="5" t="s">
        <v>28</v>
      </c>
      <c r="D1281" s="5" t="s">
        <v>29</v>
      </c>
      <c r="E1281" s="5" t="s">
        <v>507</v>
      </c>
      <c r="F1281" s="9">
        <v>48</v>
      </c>
      <c r="G1281" s="9">
        <v>570</v>
      </c>
      <c r="H1281" s="5" t="s">
        <v>20</v>
      </c>
      <c r="I1281" s="5" t="s">
        <v>3325</v>
      </c>
      <c r="J1281" s="12" t="str">
        <f>HYPERLINK("https://www.boe.es/gazeta/dias/1807/06/05/pdfs/GMD-1807-48.pdf#page=8","Abrir facsímil")</f>
        <v>Abrir facsímil</v>
      </c>
      <c r="K1281" s="15" t="s">
        <v>22</v>
      </c>
    </row>
    <row r="1282" spans="1:11" ht="42" customHeight="1">
      <c r="A1282" s="4" t="s">
        <v>3323</v>
      </c>
      <c r="B1282" s="5" t="s">
        <v>3324</v>
      </c>
      <c r="C1282" s="5" t="s">
        <v>28</v>
      </c>
      <c r="D1282" s="5" t="s">
        <v>29</v>
      </c>
      <c r="E1282" s="5" t="s">
        <v>507</v>
      </c>
      <c r="F1282" s="9">
        <v>48</v>
      </c>
      <c r="G1282" s="9">
        <v>571</v>
      </c>
      <c r="H1282" s="5" t="s">
        <v>20</v>
      </c>
      <c r="I1282" s="5" t="s">
        <v>3326</v>
      </c>
      <c r="J1282" s="12" t="str">
        <f>HYPERLINK("https://www.boe.es/gazeta/dias/1807/06/05/pdfs/GMD-1807-48.pdf#page=9","Abrir facsímil")</f>
        <v>Abrir facsímil</v>
      </c>
      <c r="K1282" s="15" t="s">
        <v>22</v>
      </c>
    </row>
    <row r="1283" spans="1:11" ht="42" customHeight="1">
      <c r="A1283" s="4" t="s">
        <v>3323</v>
      </c>
      <c r="B1283" s="5" t="s">
        <v>3324</v>
      </c>
      <c r="C1283" s="5" t="s">
        <v>34</v>
      </c>
      <c r="D1283" s="5" t="s">
        <v>35</v>
      </c>
      <c r="E1283" s="5" t="s">
        <v>319</v>
      </c>
      <c r="F1283" s="9">
        <v>54</v>
      </c>
      <c r="G1283" s="9">
        <v>645</v>
      </c>
      <c r="H1283" s="5" t="s">
        <v>20</v>
      </c>
      <c r="I1283" s="5" t="s">
        <v>3327</v>
      </c>
      <c r="J1283" s="12" t="str">
        <f>HYPERLINK("https://www.boe.es/gazeta/dias/1807/06/26/pdfs/GMD-1807-54.pdf#page=7","Abrir facsímil")</f>
        <v>Abrir facsímil</v>
      </c>
      <c r="K1283" s="15" t="s">
        <v>22</v>
      </c>
    </row>
    <row r="1284" spans="1:11" ht="42" customHeight="1">
      <c r="A1284" s="4" t="s">
        <v>3323</v>
      </c>
      <c r="B1284" s="5" t="s">
        <v>3324</v>
      </c>
      <c r="C1284" s="5" t="s">
        <v>28</v>
      </c>
      <c r="D1284" s="5" t="s">
        <v>29</v>
      </c>
      <c r="E1284" s="5" t="s">
        <v>654</v>
      </c>
      <c r="F1284" s="9">
        <v>94</v>
      </c>
      <c r="G1284" s="9">
        <v>1093</v>
      </c>
      <c r="H1284" s="5" t="s">
        <v>20</v>
      </c>
      <c r="I1284" s="5" t="s">
        <v>3328</v>
      </c>
      <c r="J1284" s="12" t="str">
        <f>HYPERLINK("https://www.boe.es/gazeta/dias/1807/10/20/pdfs/GMD-1807-94.pdf#page=9","Abrir facsímil")</f>
        <v>Abrir facsímil</v>
      </c>
      <c r="K1284" s="15" t="s">
        <v>22</v>
      </c>
    </row>
    <row r="1285" spans="1:11" ht="42" customHeight="1">
      <c r="A1285" s="4" t="s">
        <v>3329</v>
      </c>
      <c r="B1285" s="5" t="s">
        <v>3330</v>
      </c>
      <c r="C1285" s="5" t="s">
        <v>28</v>
      </c>
      <c r="D1285" s="5" t="s">
        <v>29</v>
      </c>
      <c r="E1285" s="5" t="s">
        <v>361</v>
      </c>
      <c r="F1285" s="9">
        <v>113</v>
      </c>
      <c r="G1285" s="9">
        <v>1323</v>
      </c>
      <c r="H1285" s="5" t="s">
        <v>20</v>
      </c>
      <c r="I1285" s="5" t="s">
        <v>3331</v>
      </c>
      <c r="J1285" s="12" t="str">
        <f>HYPERLINK("https://www.boe.es/gazeta/dias/1807/12/22/pdfs/GMD-1807-113.pdf#page=11","Abrir facsímil")</f>
        <v>Abrir facsímil</v>
      </c>
      <c r="K1285" s="15" t="s">
        <v>22</v>
      </c>
    </row>
    <row r="1286" spans="1:11" ht="42" customHeight="1">
      <c r="A1286" s="4" t="s">
        <v>3332</v>
      </c>
      <c r="B1286" s="5" t="s">
        <v>3333</v>
      </c>
      <c r="C1286" s="5" t="s">
        <v>28</v>
      </c>
      <c r="D1286" s="5" t="s">
        <v>29</v>
      </c>
      <c r="E1286" s="5" t="s">
        <v>266</v>
      </c>
      <c r="F1286" s="9">
        <v>67</v>
      </c>
      <c r="G1286" s="9">
        <v>775</v>
      </c>
      <c r="H1286" s="5" t="s">
        <v>20</v>
      </c>
      <c r="I1286" s="5" t="s">
        <v>3334</v>
      </c>
      <c r="J1286" s="12" t="str">
        <f>HYPERLINK("https://www.boe.es/gazeta/dias/1807/07/28/pdfs/GMD-1807-67.pdf#page=11","Abrir facsímil")</f>
        <v>Abrir facsímil</v>
      </c>
      <c r="K1286" s="15" t="s">
        <v>22</v>
      </c>
    </row>
    <row r="1287" spans="1:11" ht="42" customHeight="1">
      <c r="A1287" s="4" t="s">
        <v>3335</v>
      </c>
      <c r="B1287" s="5" t="s">
        <v>3336</v>
      </c>
      <c r="C1287" s="5" t="s">
        <v>28</v>
      </c>
      <c r="D1287" s="5" t="s">
        <v>29</v>
      </c>
      <c r="E1287" s="5" t="s">
        <v>65</v>
      </c>
      <c r="F1287" s="9">
        <v>52</v>
      </c>
      <c r="G1287" s="9">
        <v>621</v>
      </c>
      <c r="H1287" s="5" t="s">
        <v>20</v>
      </c>
      <c r="I1287" s="5" t="s">
        <v>3337</v>
      </c>
      <c r="J1287" s="12" t="str">
        <f>HYPERLINK("https://www.boe.es/gazeta/dias/1807/06/19/pdfs/GMD-1807-52.pdf#page=11","Abrir facsímil")</f>
        <v>Abrir facsímil</v>
      </c>
      <c r="K1287" s="15" t="s">
        <v>22</v>
      </c>
    </row>
    <row r="1288" spans="1:11" ht="42" customHeight="1">
      <c r="A1288" s="4" t="s">
        <v>3338</v>
      </c>
      <c r="B1288" s="5" t="s">
        <v>3339</v>
      </c>
      <c r="C1288" s="5" t="s">
        <v>34</v>
      </c>
      <c r="D1288" s="5" t="s">
        <v>35</v>
      </c>
      <c r="E1288" s="5" t="s">
        <v>109</v>
      </c>
      <c r="F1288" s="9">
        <v>58</v>
      </c>
      <c r="G1288" s="9">
        <v>688</v>
      </c>
      <c r="H1288" s="5" t="s">
        <v>20</v>
      </c>
      <c r="I1288" s="5" t="s">
        <v>3340</v>
      </c>
      <c r="J1288" s="12" t="str">
        <f>HYPERLINK("https://www.boe.es/gazeta/dias/1807/07/07/pdfs/GMD-1807-58.pdf#page=6","Abrir facsímil")</f>
        <v>Abrir facsímil</v>
      </c>
      <c r="K1288" s="15" t="s">
        <v>22</v>
      </c>
    </row>
    <row r="1289" spans="1:11" ht="42" customHeight="1">
      <c r="A1289" s="4" t="s">
        <v>3341</v>
      </c>
      <c r="B1289" s="5" t="s">
        <v>3342</v>
      </c>
      <c r="C1289" s="5" t="s">
        <v>28</v>
      </c>
      <c r="D1289" s="5" t="s">
        <v>29</v>
      </c>
      <c r="E1289" s="5" t="s">
        <v>104</v>
      </c>
      <c r="F1289" s="9">
        <v>25</v>
      </c>
      <c r="G1289" s="9">
        <v>302</v>
      </c>
      <c r="H1289" s="5" t="s">
        <v>20</v>
      </c>
      <c r="I1289" s="5" t="s">
        <v>3343</v>
      </c>
      <c r="J1289" s="12" t="str">
        <f>HYPERLINK("https://www.boe.es/gazeta/dias/1807/03/17/pdfs/GMD-1807-25.pdf#page=10","Abrir facsímil")</f>
        <v>Abrir facsímil</v>
      </c>
      <c r="K1289" s="15" t="s">
        <v>22</v>
      </c>
    </row>
    <row r="1290" spans="1:11" ht="42" customHeight="1">
      <c r="A1290" s="4" t="s">
        <v>3344</v>
      </c>
      <c r="B1290" s="5" t="s">
        <v>3345</v>
      </c>
      <c r="C1290" s="5" t="s">
        <v>28</v>
      </c>
      <c r="D1290" s="5" t="s">
        <v>29</v>
      </c>
      <c r="E1290" s="5" t="s">
        <v>98</v>
      </c>
      <c r="F1290" s="9">
        <v>34</v>
      </c>
      <c r="G1290" s="9">
        <v>404</v>
      </c>
      <c r="H1290" s="5" t="s">
        <v>20</v>
      </c>
      <c r="I1290" s="5" t="s">
        <v>3346</v>
      </c>
      <c r="J1290" s="12" t="str">
        <f>HYPERLINK("https://www.boe.es/gazeta/dias/1807/04/17/pdfs/GMD-1807-34.pdf#page=8","Abrir facsímil")</f>
        <v>Abrir facsímil</v>
      </c>
      <c r="K1290" s="15" t="s">
        <v>22</v>
      </c>
    </row>
    <row r="1291" spans="1:11" ht="42" customHeight="1">
      <c r="A1291" s="4" t="s">
        <v>3344</v>
      </c>
      <c r="B1291" s="5" t="s">
        <v>3345</v>
      </c>
      <c r="C1291" s="5" t="s">
        <v>24</v>
      </c>
      <c r="D1291" s="5" t="s">
        <v>18</v>
      </c>
      <c r="E1291" s="5" t="s">
        <v>135</v>
      </c>
      <c r="F1291" s="9">
        <v>80</v>
      </c>
      <c r="G1291" s="9">
        <v>933</v>
      </c>
      <c r="H1291" s="5" t="s">
        <v>20</v>
      </c>
      <c r="I1291" s="5" t="s">
        <v>3347</v>
      </c>
      <c r="J1291" s="12" t="str">
        <f>HYPERLINK("https://www.boe.es/gazeta/dias/1807/09/08/pdfs/GMD-1807-80.pdf#page=9","Abrir facsímil")</f>
        <v>Abrir facsímil</v>
      </c>
      <c r="K1291" s="15" t="s">
        <v>22</v>
      </c>
    </row>
    <row r="1292" spans="1:11" ht="42" customHeight="1">
      <c r="A1292" s="4" t="s">
        <v>3348</v>
      </c>
      <c r="B1292" s="5" t="s">
        <v>3349</v>
      </c>
      <c r="C1292" s="5" t="s">
        <v>28</v>
      </c>
      <c r="D1292" s="5" t="s">
        <v>29</v>
      </c>
      <c r="E1292" s="5" t="s">
        <v>101</v>
      </c>
      <c r="F1292" s="9">
        <v>23</v>
      </c>
      <c r="G1292" s="9">
        <v>270</v>
      </c>
      <c r="H1292" s="5" t="s">
        <v>20</v>
      </c>
      <c r="I1292" s="5" t="s">
        <v>3350</v>
      </c>
      <c r="J1292" s="12" t="str">
        <f>HYPERLINK("https://www.boe.es/gazeta/dias/1807/03/10/pdfs/GMD-1807-23.pdf#page=10","Abrir facsímil")</f>
        <v>Abrir facsímil</v>
      </c>
      <c r="K1292" s="15" t="s">
        <v>22</v>
      </c>
    </row>
    <row r="1293" spans="1:11" ht="42" customHeight="1">
      <c r="A1293" s="4" t="s">
        <v>3351</v>
      </c>
      <c r="B1293" s="5" t="s">
        <v>3352</v>
      </c>
      <c r="C1293" s="5" t="s">
        <v>24</v>
      </c>
      <c r="D1293" s="5" t="s">
        <v>18</v>
      </c>
      <c r="E1293" s="5" t="s">
        <v>149</v>
      </c>
      <c r="F1293" s="9">
        <v>38</v>
      </c>
      <c r="G1293" s="9">
        <v>454</v>
      </c>
      <c r="H1293" s="5" t="s">
        <v>20</v>
      </c>
      <c r="I1293" s="5" t="s">
        <v>3353</v>
      </c>
      <c r="J1293" s="12" t="str">
        <f>HYPERLINK("https://www.boe.es/gazeta/dias/1807/05/01/pdfs/GMD-1807-38.pdf#page=10","Abrir facsímil")</f>
        <v>Abrir facsímil</v>
      </c>
      <c r="K1293" s="15" t="s">
        <v>22</v>
      </c>
    </row>
    <row r="1294" spans="1:11" ht="42" customHeight="1">
      <c r="A1294" s="4" t="s">
        <v>3351</v>
      </c>
      <c r="B1294" s="5" t="s">
        <v>3352</v>
      </c>
      <c r="C1294" s="5" t="s">
        <v>24</v>
      </c>
      <c r="D1294" s="5" t="s">
        <v>18</v>
      </c>
      <c r="E1294" s="5" t="s">
        <v>505</v>
      </c>
      <c r="F1294" s="9">
        <v>47</v>
      </c>
      <c r="G1294" s="9">
        <v>562</v>
      </c>
      <c r="H1294" s="5" t="s">
        <v>20</v>
      </c>
      <c r="I1294" s="5" t="s">
        <v>3354</v>
      </c>
      <c r="J1294" s="12" t="str">
        <f>HYPERLINK("https://www.boe.es/gazeta/dias/1807/06/02/pdfs/GMD-1807-47.pdf#page=8","Abrir facsímil")</f>
        <v>Abrir facsímil</v>
      </c>
      <c r="K1294" s="15" t="s">
        <v>22</v>
      </c>
    </row>
    <row r="1295" spans="1:11" ht="42" customHeight="1">
      <c r="A1295" s="4" t="s">
        <v>3351</v>
      </c>
      <c r="B1295" s="5" t="s">
        <v>3352</v>
      </c>
      <c r="C1295" s="5" t="s">
        <v>24</v>
      </c>
      <c r="D1295" s="5" t="s">
        <v>18</v>
      </c>
      <c r="E1295" s="5" t="s">
        <v>65</v>
      </c>
      <c r="F1295" s="9">
        <v>52</v>
      </c>
      <c r="G1295" s="9">
        <v>623</v>
      </c>
      <c r="H1295" s="5" t="s">
        <v>20</v>
      </c>
      <c r="I1295" s="5" t="s">
        <v>3355</v>
      </c>
      <c r="J1295" s="12" t="str">
        <f>HYPERLINK("https://www.boe.es/gazeta/dias/1807/06/19/pdfs/GMD-1807-52.pdf#page=13","Abrir facsímil")</f>
        <v>Abrir facsímil</v>
      </c>
      <c r="K1295" s="15" t="s">
        <v>22</v>
      </c>
    </row>
    <row r="1296" spans="1:11" ht="42" customHeight="1">
      <c r="A1296" s="4" t="s">
        <v>3351</v>
      </c>
      <c r="B1296" s="5" t="s">
        <v>3352</v>
      </c>
      <c r="C1296" s="5" t="s">
        <v>34</v>
      </c>
      <c r="D1296" s="5" t="s">
        <v>35</v>
      </c>
      <c r="E1296" s="5" t="s">
        <v>51</v>
      </c>
      <c r="F1296" s="9">
        <v>62</v>
      </c>
      <c r="G1296" s="9">
        <v>733</v>
      </c>
      <c r="H1296" s="5" t="s">
        <v>20</v>
      </c>
      <c r="I1296" s="5" t="s">
        <v>3356</v>
      </c>
      <c r="J1296" s="12" t="str">
        <f>HYPERLINK("https://www.boe.es/gazeta/dias/1807/07/17/pdfs/GMD-1807-62.pdf#page=7","Abrir facsímil")</f>
        <v>Abrir facsímil</v>
      </c>
      <c r="K1296" s="15" t="s">
        <v>22</v>
      </c>
    </row>
    <row r="1297" spans="1:11" ht="42" customHeight="1">
      <c r="A1297" s="4" t="s">
        <v>3351</v>
      </c>
      <c r="B1297" s="5" t="s">
        <v>3352</v>
      </c>
      <c r="C1297" s="5" t="s">
        <v>34</v>
      </c>
      <c r="D1297" s="5" t="s">
        <v>35</v>
      </c>
      <c r="E1297" s="5" t="s">
        <v>53</v>
      </c>
      <c r="F1297" s="9">
        <v>64</v>
      </c>
      <c r="G1297" s="9">
        <v>749</v>
      </c>
      <c r="H1297" s="5" t="s">
        <v>20</v>
      </c>
      <c r="I1297" s="5" t="s">
        <v>3357</v>
      </c>
      <c r="J1297" s="12" t="str">
        <f>HYPERLINK("https://www.boe.es/gazeta/dias/1807/07/21/pdfs/GMD-1807-64.pdf#page=11","Abrir facsímil")</f>
        <v>Abrir facsímil</v>
      </c>
      <c r="K1297" s="15" t="s">
        <v>22</v>
      </c>
    </row>
    <row r="1298" spans="1:11" ht="42" customHeight="1">
      <c r="A1298" s="4" t="s">
        <v>3351</v>
      </c>
      <c r="B1298" s="5" t="s">
        <v>3352</v>
      </c>
      <c r="C1298" s="5" t="s">
        <v>24</v>
      </c>
      <c r="D1298" s="5" t="s">
        <v>18</v>
      </c>
      <c r="E1298" s="5" t="s">
        <v>1354</v>
      </c>
      <c r="F1298" s="9">
        <v>83</v>
      </c>
      <c r="G1298" s="9">
        <v>971</v>
      </c>
      <c r="H1298" s="5" t="s">
        <v>20</v>
      </c>
      <c r="I1298" s="5" t="s">
        <v>3358</v>
      </c>
      <c r="J1298" s="12" t="str">
        <f>HYPERLINK("https://www.boe.es/gazeta/dias/1807/09/18/pdfs/GMD-1807-83.pdf#page=11","Abrir facsímil")</f>
        <v>Abrir facsímil</v>
      </c>
      <c r="K1298" s="15" t="s">
        <v>22</v>
      </c>
    </row>
    <row r="1299" spans="1:11" ht="42" customHeight="1">
      <c r="A1299" s="4" t="s">
        <v>3359</v>
      </c>
      <c r="B1299" s="5" t="s">
        <v>3360</v>
      </c>
      <c r="C1299" s="5" t="s">
        <v>34</v>
      </c>
      <c r="D1299" s="5" t="s">
        <v>35</v>
      </c>
      <c r="E1299" s="5" t="s">
        <v>101</v>
      </c>
      <c r="F1299" s="9">
        <v>23</v>
      </c>
      <c r="G1299" s="9">
        <v>273</v>
      </c>
      <c r="H1299" s="5" t="s">
        <v>20</v>
      </c>
      <c r="I1299" s="5" t="s">
        <v>3361</v>
      </c>
      <c r="J1299" s="12" t="str">
        <f>HYPERLINK("https://www.boe.es/gazeta/dias/1807/03/10/pdfs/GMD-1807-23.pdf#page=13","Abrir facsímil")</f>
        <v>Abrir facsímil</v>
      </c>
      <c r="K1299" s="15" t="s">
        <v>22</v>
      </c>
    </row>
    <row r="1300" spans="1:11" ht="42" customHeight="1">
      <c r="A1300" s="4" t="s">
        <v>3362</v>
      </c>
      <c r="B1300" s="5" t="s">
        <v>3363</v>
      </c>
      <c r="C1300" s="5" t="s">
        <v>34</v>
      </c>
      <c r="D1300" s="5" t="s">
        <v>35</v>
      </c>
      <c r="E1300" s="5" t="s">
        <v>275</v>
      </c>
      <c r="F1300" s="9">
        <v>104</v>
      </c>
      <c r="G1300" s="9">
        <v>1213</v>
      </c>
      <c r="H1300" s="5" t="s">
        <v>20</v>
      </c>
      <c r="I1300" s="5" t="s">
        <v>3364</v>
      </c>
      <c r="J1300" s="12" t="str">
        <f>HYPERLINK("https://www.boe.es/gazeta/dias/1807/11/24/pdfs/GMD-1807-104.pdf#page=9","Abrir facsímil")</f>
        <v>Abrir facsímil</v>
      </c>
      <c r="K1300" s="15" t="s">
        <v>22</v>
      </c>
    </row>
    <row r="1301" spans="1:11" ht="42" customHeight="1">
      <c r="A1301" s="4" t="s">
        <v>3365</v>
      </c>
      <c r="B1301" s="5" t="s">
        <v>3366</v>
      </c>
      <c r="C1301" s="5" t="s">
        <v>34</v>
      </c>
      <c r="D1301" s="5" t="s">
        <v>35</v>
      </c>
      <c r="E1301" s="5" t="s">
        <v>111</v>
      </c>
      <c r="F1301" s="9">
        <v>90</v>
      </c>
      <c r="G1301" s="9">
        <v>1044</v>
      </c>
      <c r="H1301" s="5" t="s">
        <v>20</v>
      </c>
      <c r="I1301" s="5" t="s">
        <v>3367</v>
      </c>
      <c r="J1301" s="12" t="str">
        <f>HYPERLINK("https://www.boe.es/gazeta/dias/1807/10/06/pdfs/GMD-1807-90.pdf#page=12","Abrir facsímil")</f>
        <v>Abrir facsímil</v>
      </c>
      <c r="K1301" s="15" t="s">
        <v>22</v>
      </c>
    </row>
    <row r="1302" spans="1:11" ht="42" customHeight="1">
      <c r="A1302" s="4" t="s">
        <v>3368</v>
      </c>
      <c r="B1302" s="5" t="s">
        <v>3369</v>
      </c>
      <c r="C1302" s="5" t="s">
        <v>89</v>
      </c>
      <c r="D1302" s="5" t="s">
        <v>90</v>
      </c>
      <c r="E1302" s="5" t="s">
        <v>390</v>
      </c>
      <c r="F1302" s="9">
        <v>24</v>
      </c>
      <c r="G1302" s="9">
        <v>292</v>
      </c>
      <c r="H1302" s="5" t="s">
        <v>20</v>
      </c>
      <c r="I1302" s="5" t="s">
        <v>3370</v>
      </c>
      <c r="J1302" s="12" t="str">
        <f>HYPERLINK("https://www.boe.es/gazeta/dias/1807/03/13/pdfs/GMD-1807-24.pdf#page=16","Abrir facsímil")</f>
        <v>Abrir facsímil</v>
      </c>
      <c r="K1302" s="15" t="s">
        <v>22</v>
      </c>
    </row>
    <row r="1303" spans="1:11" ht="42" customHeight="1">
      <c r="A1303" s="4" t="s">
        <v>3371</v>
      </c>
      <c r="B1303" s="5" t="s">
        <v>3372</v>
      </c>
      <c r="C1303" s="5" t="s">
        <v>24</v>
      </c>
      <c r="D1303" s="5" t="s">
        <v>18</v>
      </c>
      <c r="E1303" s="5" t="s">
        <v>309</v>
      </c>
      <c r="F1303" s="9">
        <v>107</v>
      </c>
      <c r="G1303" s="9">
        <v>1248</v>
      </c>
      <c r="H1303" s="5" t="s">
        <v>20</v>
      </c>
      <c r="I1303" s="5" t="s">
        <v>3373</v>
      </c>
      <c r="J1303" s="12" t="str">
        <f>HYPERLINK("https://www.boe.es/gazeta/dias/1807/12/01/pdfs/GMD-1807-107.pdf#page=8","Abrir facsímil")</f>
        <v>Abrir facsímil</v>
      </c>
      <c r="K1303" s="15" t="s">
        <v>22</v>
      </c>
    </row>
    <row r="1304" spans="1:11" ht="42" customHeight="1">
      <c r="A1304" s="4" t="s">
        <v>3374</v>
      </c>
      <c r="B1304" s="5" t="s">
        <v>3375</v>
      </c>
      <c r="C1304" s="5" t="s">
        <v>34</v>
      </c>
      <c r="D1304" s="5" t="s">
        <v>35</v>
      </c>
      <c r="E1304" s="5" t="s">
        <v>53</v>
      </c>
      <c r="F1304" s="9">
        <v>64</v>
      </c>
      <c r="G1304" s="9">
        <v>747</v>
      </c>
      <c r="H1304" s="5" t="s">
        <v>20</v>
      </c>
      <c r="I1304" s="5" t="s">
        <v>3376</v>
      </c>
      <c r="J1304" s="12" t="str">
        <f>HYPERLINK("https://www.boe.es/gazeta/dias/1807/07/21/pdfs/GMD-1807-64.pdf#page=9","Abrir facsímil")</f>
        <v>Abrir facsímil</v>
      </c>
      <c r="K1304" s="15" t="s">
        <v>22</v>
      </c>
    </row>
    <row r="1305" spans="1:11" ht="42" customHeight="1">
      <c r="A1305" s="4" t="s">
        <v>3377</v>
      </c>
      <c r="B1305" s="5" t="s">
        <v>3378</v>
      </c>
      <c r="C1305" s="5" t="s">
        <v>34</v>
      </c>
      <c r="D1305" s="5" t="s">
        <v>35</v>
      </c>
      <c r="E1305" s="5" t="s">
        <v>215</v>
      </c>
      <c r="F1305" s="9" t="s">
        <v>517</v>
      </c>
      <c r="G1305" s="9">
        <v>65</v>
      </c>
      <c r="H1305" s="5" t="s">
        <v>20</v>
      </c>
      <c r="I1305" s="5" t="s">
        <v>3379</v>
      </c>
      <c r="J1305" s="12" t="str">
        <f>HYPERLINK("https://www.boe.es/gazeta/dias/1807/01/16/pdfs/GMD-1807-6E.pdf#page=5","Abrir facsímil")</f>
        <v>Abrir facsímil</v>
      </c>
      <c r="K1305" s="15" t="s">
        <v>22</v>
      </c>
    </row>
    <row r="1306" spans="1:11" ht="42" customHeight="1">
      <c r="A1306" s="4" t="s">
        <v>3377</v>
      </c>
      <c r="B1306" s="5" t="s">
        <v>3378</v>
      </c>
      <c r="C1306" s="5" t="s">
        <v>34</v>
      </c>
      <c r="D1306" s="5" t="s">
        <v>35</v>
      </c>
      <c r="E1306" s="5" t="s">
        <v>94</v>
      </c>
      <c r="F1306" s="9">
        <v>22</v>
      </c>
      <c r="G1306" s="9">
        <v>254</v>
      </c>
      <c r="H1306" s="5" t="s">
        <v>20</v>
      </c>
      <c r="I1306" s="5" t="s">
        <v>3380</v>
      </c>
      <c r="J1306" s="12" t="str">
        <f>HYPERLINK("https://www.boe.es/gazeta/dias/1807/03/06/pdfs/GMD-1807-22.pdf#page=6","Abrir facsímil")</f>
        <v>Abrir facsímil</v>
      </c>
      <c r="K1306" s="15" t="s">
        <v>22</v>
      </c>
    </row>
    <row r="1307" spans="1:11" ht="42" customHeight="1">
      <c r="A1307" s="4" t="s">
        <v>3381</v>
      </c>
      <c r="B1307" s="5" t="s">
        <v>3382</v>
      </c>
      <c r="C1307" s="5" t="s">
        <v>34</v>
      </c>
      <c r="D1307" s="5" t="s">
        <v>35</v>
      </c>
      <c r="E1307" s="5" t="s">
        <v>471</v>
      </c>
      <c r="F1307" s="9">
        <v>51</v>
      </c>
      <c r="G1307" s="9">
        <v>605</v>
      </c>
      <c r="H1307" s="5" t="s">
        <v>20</v>
      </c>
      <c r="I1307" s="5" t="s">
        <v>3383</v>
      </c>
      <c r="J1307" s="12" t="str">
        <f>HYPERLINK("https://www.boe.es/gazeta/dias/1807/06/16/pdfs/GMD-1807-51.pdf#page=7","Abrir facsímil")</f>
        <v>Abrir facsímil</v>
      </c>
      <c r="K1307" s="15" t="s">
        <v>22</v>
      </c>
    </row>
    <row r="1308" spans="1:11" ht="42" customHeight="1">
      <c r="A1308" s="4" t="s">
        <v>3384</v>
      </c>
      <c r="B1308" s="5" t="s">
        <v>3385</v>
      </c>
      <c r="C1308" s="5" t="s">
        <v>34</v>
      </c>
      <c r="D1308" s="5" t="s">
        <v>35</v>
      </c>
      <c r="E1308" s="5" t="s">
        <v>30</v>
      </c>
      <c r="F1308" s="9">
        <v>13</v>
      </c>
      <c r="G1308" s="9">
        <v>149</v>
      </c>
      <c r="H1308" s="5" t="s">
        <v>20</v>
      </c>
      <c r="I1308" s="5" t="s">
        <v>3386</v>
      </c>
      <c r="J1308" s="12" t="str">
        <f>HYPERLINK("https://www.boe.es/gazeta/dias/1807/02/06/pdfs/GMD-1807-13.pdf#page=9","Abrir facsímil")</f>
        <v>Abrir facsímil</v>
      </c>
      <c r="K1308" s="15" t="s">
        <v>22</v>
      </c>
    </row>
    <row r="1309" spans="1:11" ht="42" customHeight="1">
      <c r="A1309" s="4" t="s">
        <v>3387</v>
      </c>
      <c r="B1309" s="5" t="s">
        <v>3388</v>
      </c>
      <c r="C1309" s="5" t="s">
        <v>28</v>
      </c>
      <c r="D1309" s="5" t="s">
        <v>29</v>
      </c>
      <c r="E1309" s="5" t="s">
        <v>1354</v>
      </c>
      <c r="F1309" s="9">
        <v>83</v>
      </c>
      <c r="G1309" s="9">
        <v>970</v>
      </c>
      <c r="H1309" s="5" t="s">
        <v>20</v>
      </c>
      <c r="I1309" s="5" t="s">
        <v>3389</v>
      </c>
      <c r="J1309" s="12" t="str">
        <f>HYPERLINK("https://www.boe.es/gazeta/dias/1807/09/18/pdfs/GMD-1807-83.pdf#page=10","Abrir facsímil")</f>
        <v>Abrir facsímil</v>
      </c>
      <c r="K1309" s="15" t="s">
        <v>22</v>
      </c>
    </row>
    <row r="1310" spans="1:11" ht="42" customHeight="1">
      <c r="A1310" s="4" t="s">
        <v>3387</v>
      </c>
      <c r="B1310" s="5" t="s">
        <v>3388</v>
      </c>
      <c r="C1310" s="5" t="s">
        <v>252</v>
      </c>
      <c r="D1310" s="5" t="s">
        <v>253</v>
      </c>
      <c r="E1310" s="5" t="s">
        <v>314</v>
      </c>
      <c r="F1310" s="9" t="s">
        <v>315</v>
      </c>
      <c r="G1310" s="9">
        <v>1218</v>
      </c>
      <c r="H1310" s="5" t="s">
        <v>20</v>
      </c>
      <c r="I1310" s="5" t="s">
        <v>3390</v>
      </c>
      <c r="J1310" s="12" t="str">
        <f>HYPERLINK("https://www.boe.es/gazeta/dias/1807/11/26/pdfs/GMD-1807-105E.pdf#page=2","Abrir facsímil")</f>
        <v>Abrir facsímil</v>
      </c>
      <c r="K1310" s="15" t="s">
        <v>22</v>
      </c>
    </row>
    <row r="1311" spans="1:11" ht="42" customHeight="1">
      <c r="A1311" s="4" t="s">
        <v>3391</v>
      </c>
      <c r="B1311" s="5" t="s">
        <v>3392</v>
      </c>
      <c r="C1311" s="5" t="s">
        <v>28</v>
      </c>
      <c r="D1311" s="5" t="s">
        <v>29</v>
      </c>
      <c r="E1311" s="5" t="s">
        <v>575</v>
      </c>
      <c r="F1311" s="9">
        <v>115</v>
      </c>
      <c r="G1311" s="9">
        <v>1340</v>
      </c>
      <c r="H1311" s="5" t="s">
        <v>20</v>
      </c>
      <c r="I1311" s="5" t="s">
        <v>3393</v>
      </c>
      <c r="J1311" s="12" t="str">
        <f>HYPERLINK("https://www.boe.es/gazeta/dias/1807/12/29/pdfs/GMD-1807-115.pdf#page=8","Abrir facsímil")</f>
        <v>Abrir facsímil</v>
      </c>
      <c r="K1311" s="15" t="s">
        <v>22</v>
      </c>
    </row>
    <row r="1312" spans="1:11" ht="42" customHeight="1">
      <c r="A1312" s="4" t="s">
        <v>3394</v>
      </c>
      <c r="B1312" s="5" t="s">
        <v>3395</v>
      </c>
      <c r="C1312" s="5" t="s">
        <v>24</v>
      </c>
      <c r="D1312" s="5" t="s">
        <v>18</v>
      </c>
      <c r="E1312" s="5" t="s">
        <v>40</v>
      </c>
      <c r="F1312" s="9">
        <v>26</v>
      </c>
      <c r="G1312" s="9">
        <v>315</v>
      </c>
      <c r="H1312" s="5" t="s">
        <v>20</v>
      </c>
      <c r="I1312" s="5" t="s">
        <v>3396</v>
      </c>
      <c r="J1312" s="12" t="str">
        <f>HYPERLINK("https://www.boe.es/gazeta/dias/1807/03/20/pdfs/GMD-1807-26.pdf#page=11","Abrir facsímil")</f>
        <v>Abrir facsímil</v>
      </c>
      <c r="K1312" s="15" t="s">
        <v>22</v>
      </c>
    </row>
    <row r="1313" spans="1:11" ht="42" customHeight="1">
      <c r="A1313" s="4" t="s">
        <v>3397</v>
      </c>
      <c r="B1313" s="5" t="s">
        <v>3398</v>
      </c>
      <c r="C1313" s="5" t="s">
        <v>24</v>
      </c>
      <c r="D1313" s="5" t="s">
        <v>18</v>
      </c>
      <c r="E1313" s="5" t="s">
        <v>461</v>
      </c>
      <c r="F1313" s="9">
        <v>99</v>
      </c>
      <c r="G1313" s="9">
        <v>1154</v>
      </c>
      <c r="H1313" s="5" t="s">
        <v>20</v>
      </c>
      <c r="I1313" s="5" t="s">
        <v>3399</v>
      </c>
      <c r="J1313" s="12" t="str">
        <f>HYPERLINK("https://www.boe.es/gazeta/dias/1807/11/06/pdfs/GMD-1807-99.pdf#page=10","Abrir facsímil")</f>
        <v>Abrir facsímil</v>
      </c>
      <c r="K1313" s="15" t="s">
        <v>22</v>
      </c>
    </row>
    <row r="1314" spans="1:11" ht="42" customHeight="1">
      <c r="A1314" s="4" t="s">
        <v>3400</v>
      </c>
      <c r="B1314" s="5" t="s">
        <v>3401</v>
      </c>
      <c r="C1314" s="5" t="s">
        <v>24</v>
      </c>
      <c r="D1314" s="5" t="s">
        <v>18</v>
      </c>
      <c r="E1314" s="5" t="s">
        <v>471</v>
      </c>
      <c r="F1314" s="9">
        <v>51</v>
      </c>
      <c r="G1314" s="9">
        <v>608</v>
      </c>
      <c r="H1314" s="5" t="s">
        <v>20</v>
      </c>
      <c r="I1314" s="5" t="s">
        <v>3402</v>
      </c>
      <c r="J1314" s="12" t="str">
        <f>HYPERLINK("https://www.boe.es/gazeta/dias/1807/06/16/pdfs/GMD-1807-51.pdf#page=10","Abrir facsímil")</f>
        <v>Abrir facsímil</v>
      </c>
      <c r="K1314" s="15" t="s">
        <v>22</v>
      </c>
    </row>
    <row r="1315" spans="1:11" ht="42" customHeight="1">
      <c r="A1315" s="4" t="s">
        <v>3403</v>
      </c>
      <c r="B1315" s="5" t="s">
        <v>3404</v>
      </c>
      <c r="C1315" s="5" t="s">
        <v>49</v>
      </c>
      <c r="D1315" s="5" t="s">
        <v>50</v>
      </c>
      <c r="E1315" s="5" t="s">
        <v>305</v>
      </c>
      <c r="F1315" s="9">
        <v>53</v>
      </c>
      <c r="G1315" s="9">
        <v>634</v>
      </c>
      <c r="H1315" s="5" t="s">
        <v>20</v>
      </c>
      <c r="I1315" s="5" t="s">
        <v>3405</v>
      </c>
      <c r="J1315" s="12" t="str">
        <f>HYPERLINK("https://www.boe.es/gazeta/dias/1807/06/23/pdfs/GMD-1807-53.pdf#page=8","Abrir facsímil")</f>
        <v>Abrir facsímil</v>
      </c>
      <c r="K1315" s="15" t="s">
        <v>22</v>
      </c>
    </row>
    <row r="1316" spans="1:11" ht="42" customHeight="1">
      <c r="A1316" s="4" t="s">
        <v>3406</v>
      </c>
      <c r="B1316" s="5" t="s">
        <v>3407</v>
      </c>
      <c r="C1316" s="5" t="s">
        <v>34</v>
      </c>
      <c r="D1316" s="5" t="s">
        <v>35</v>
      </c>
      <c r="E1316" s="5" t="s">
        <v>62</v>
      </c>
      <c r="F1316" s="9">
        <v>68</v>
      </c>
      <c r="G1316" s="9">
        <v>783</v>
      </c>
      <c r="H1316" s="5" t="s">
        <v>20</v>
      </c>
      <c r="I1316" s="5" t="s">
        <v>3408</v>
      </c>
      <c r="J1316" s="12" t="str">
        <f>HYPERLINK("https://www.boe.es/gazeta/dias/1807/07/31/pdfs/GMD-1807-68.pdf#page=7","Abrir facsímil")</f>
        <v>Abrir facsímil</v>
      </c>
      <c r="K1316" s="15" t="s">
        <v>22</v>
      </c>
    </row>
    <row r="1317" spans="1:11" ht="42" customHeight="1">
      <c r="A1317" s="4" t="s">
        <v>3406</v>
      </c>
      <c r="B1317" s="5" t="s">
        <v>3407</v>
      </c>
      <c r="C1317" s="5" t="s">
        <v>34</v>
      </c>
      <c r="D1317" s="5" t="s">
        <v>35</v>
      </c>
      <c r="E1317" s="5" t="s">
        <v>135</v>
      </c>
      <c r="F1317" s="9">
        <v>80</v>
      </c>
      <c r="G1317" s="9">
        <v>933</v>
      </c>
      <c r="H1317" s="5" t="s">
        <v>20</v>
      </c>
      <c r="I1317" s="5" t="s">
        <v>3409</v>
      </c>
      <c r="J1317" s="12" t="str">
        <f>HYPERLINK("https://www.boe.es/gazeta/dias/1807/09/08/pdfs/GMD-1807-80.pdf#page=9","Abrir facsímil")</f>
        <v>Abrir facsímil</v>
      </c>
      <c r="K1317" s="15" t="s">
        <v>22</v>
      </c>
    </row>
    <row r="1318" spans="1:11" ht="42" customHeight="1">
      <c r="A1318" s="4" t="s">
        <v>3410</v>
      </c>
      <c r="B1318" s="5" t="s">
        <v>3411</v>
      </c>
      <c r="C1318" s="5" t="s">
        <v>34</v>
      </c>
      <c r="D1318" s="5" t="s">
        <v>35</v>
      </c>
      <c r="E1318" s="5" t="s">
        <v>30</v>
      </c>
      <c r="F1318" s="9">
        <v>13</v>
      </c>
      <c r="G1318" s="9">
        <v>149</v>
      </c>
      <c r="H1318" s="5" t="s">
        <v>20</v>
      </c>
      <c r="I1318" s="5" t="s">
        <v>3412</v>
      </c>
      <c r="J1318" s="12" t="str">
        <f>HYPERLINK("https://www.boe.es/gazeta/dias/1807/02/06/pdfs/GMD-1807-13.pdf#page=9","Abrir facsímil")</f>
        <v>Abrir facsímil</v>
      </c>
      <c r="K1318" s="15" t="s">
        <v>22</v>
      </c>
    </row>
    <row r="1319" spans="1:11" ht="42" customHeight="1">
      <c r="A1319" s="4" t="s">
        <v>3413</v>
      </c>
      <c r="B1319" s="5" t="s">
        <v>3414</v>
      </c>
      <c r="C1319" s="5" t="s">
        <v>24</v>
      </c>
      <c r="D1319" s="5" t="s">
        <v>18</v>
      </c>
      <c r="E1319" s="5" t="s">
        <v>65</v>
      </c>
      <c r="F1319" s="9">
        <v>52</v>
      </c>
      <c r="G1319" s="9">
        <v>622</v>
      </c>
      <c r="H1319" s="5" t="s">
        <v>20</v>
      </c>
      <c r="I1319" s="5" t="s">
        <v>3415</v>
      </c>
      <c r="J1319" s="12" t="str">
        <f>HYPERLINK("https://www.boe.es/gazeta/dias/1807/06/19/pdfs/GMD-1807-52.pdf#page=12","Abrir facsímil")</f>
        <v>Abrir facsímil</v>
      </c>
      <c r="K1319" s="15" t="s">
        <v>22</v>
      </c>
    </row>
    <row r="1320" spans="1:11" ht="42" customHeight="1">
      <c r="A1320" s="4" t="s">
        <v>3416</v>
      </c>
      <c r="B1320" s="5" t="s">
        <v>3417</v>
      </c>
      <c r="C1320" s="5" t="s">
        <v>24</v>
      </c>
      <c r="D1320" s="5" t="s">
        <v>18</v>
      </c>
      <c r="E1320" s="5" t="s">
        <v>507</v>
      </c>
      <c r="F1320" s="9">
        <v>48</v>
      </c>
      <c r="G1320" s="9">
        <v>570</v>
      </c>
      <c r="H1320" s="5" t="s">
        <v>20</v>
      </c>
      <c r="I1320" s="5" t="s">
        <v>3418</v>
      </c>
      <c r="J1320" s="12" t="str">
        <f>HYPERLINK("https://www.boe.es/gazeta/dias/1807/06/05/pdfs/GMD-1807-48.pdf#page=8","Abrir facsímil")</f>
        <v>Abrir facsímil</v>
      </c>
      <c r="K1320" s="15" t="s">
        <v>22</v>
      </c>
    </row>
    <row r="1321" spans="1:11" ht="42" customHeight="1">
      <c r="A1321" s="4" t="s">
        <v>3419</v>
      </c>
      <c r="B1321" s="5" t="s">
        <v>3420</v>
      </c>
      <c r="C1321" s="5" t="s">
        <v>24</v>
      </c>
      <c r="D1321" s="5" t="s">
        <v>18</v>
      </c>
      <c r="E1321" s="5" t="s">
        <v>208</v>
      </c>
      <c r="F1321" s="9">
        <v>42</v>
      </c>
      <c r="G1321" s="9">
        <v>503</v>
      </c>
      <c r="H1321" s="5" t="s">
        <v>20</v>
      </c>
      <c r="I1321" s="5" t="s">
        <v>3421</v>
      </c>
      <c r="J1321" s="12" t="str">
        <f>HYPERLINK("https://www.boe.es/gazeta/dias/1807/05/15/pdfs/GMD-1807-42.pdf#page=9","Abrir facsímil")</f>
        <v>Abrir facsímil</v>
      </c>
      <c r="K1321" s="15" t="s">
        <v>22</v>
      </c>
    </row>
    <row r="1322" spans="1:11" ht="42" customHeight="1">
      <c r="A1322" s="4" t="s">
        <v>3419</v>
      </c>
      <c r="B1322" s="5" t="s">
        <v>3420</v>
      </c>
      <c r="C1322" s="5" t="s">
        <v>24</v>
      </c>
      <c r="D1322" s="5" t="s">
        <v>18</v>
      </c>
      <c r="E1322" s="5" t="s">
        <v>595</v>
      </c>
      <c r="F1322" s="9">
        <v>59</v>
      </c>
      <c r="G1322" s="9">
        <v>703</v>
      </c>
      <c r="H1322" s="5" t="s">
        <v>20</v>
      </c>
      <c r="I1322" s="5" t="s">
        <v>3422</v>
      </c>
      <c r="J1322" s="12" t="str">
        <f>HYPERLINK("https://www.boe.es/gazeta/dias/1807/07/10/pdfs/GMD-1807-59.pdf#page=9","Abrir facsímil")</f>
        <v>Abrir facsímil</v>
      </c>
      <c r="K1322" s="15" t="s">
        <v>22</v>
      </c>
    </row>
    <row r="1323" spans="1:11" ht="42" customHeight="1">
      <c r="A1323" s="4" t="s">
        <v>3419</v>
      </c>
      <c r="B1323" s="5" t="s">
        <v>3420</v>
      </c>
      <c r="C1323" s="5" t="s">
        <v>28</v>
      </c>
      <c r="D1323" s="5" t="s">
        <v>29</v>
      </c>
      <c r="E1323" s="5" t="s">
        <v>62</v>
      </c>
      <c r="F1323" s="9">
        <v>68</v>
      </c>
      <c r="G1323" s="9">
        <v>783</v>
      </c>
      <c r="H1323" s="5" t="s">
        <v>20</v>
      </c>
      <c r="I1323" s="5" t="s">
        <v>3423</v>
      </c>
      <c r="J1323" s="12" t="str">
        <f>HYPERLINK("https://www.boe.es/gazeta/dias/1807/07/31/pdfs/GMD-1807-68.pdf#page=7","Abrir facsímil")</f>
        <v>Abrir facsímil</v>
      </c>
      <c r="K1323" s="15" t="s">
        <v>22</v>
      </c>
    </row>
    <row r="1324" spans="1:11" ht="42" customHeight="1">
      <c r="A1324" s="4" t="s">
        <v>3424</v>
      </c>
      <c r="B1324" s="5" t="s">
        <v>3425</v>
      </c>
      <c r="C1324" s="5" t="s">
        <v>34</v>
      </c>
      <c r="D1324" s="5" t="s">
        <v>35</v>
      </c>
      <c r="E1324" s="5" t="s">
        <v>361</v>
      </c>
      <c r="F1324" s="9">
        <v>113</v>
      </c>
      <c r="G1324" s="9">
        <v>1322</v>
      </c>
      <c r="H1324" s="5" t="s">
        <v>20</v>
      </c>
      <c r="I1324" s="5" t="s">
        <v>3426</v>
      </c>
      <c r="J1324" s="12" t="str">
        <f>HYPERLINK("https://www.boe.es/gazeta/dias/1807/12/22/pdfs/GMD-1807-113.pdf#page=10","Abrir facsímil")</f>
        <v>Abrir facsímil</v>
      </c>
      <c r="K1324" s="15" t="s">
        <v>22</v>
      </c>
    </row>
    <row r="1325" spans="1:11" ht="42" customHeight="1">
      <c r="A1325" s="4" t="s">
        <v>3427</v>
      </c>
      <c r="B1325" s="5" t="s">
        <v>3428</v>
      </c>
      <c r="C1325" s="5" t="s">
        <v>24</v>
      </c>
      <c r="D1325" s="5" t="s">
        <v>18</v>
      </c>
      <c r="E1325" s="5" t="s">
        <v>152</v>
      </c>
      <c r="F1325" s="9">
        <v>61</v>
      </c>
      <c r="G1325" s="9">
        <v>722</v>
      </c>
      <c r="H1325" s="5" t="s">
        <v>20</v>
      </c>
      <c r="I1325" s="5" t="s">
        <v>3429</v>
      </c>
      <c r="J1325" s="12" t="str">
        <f>HYPERLINK("https://www.boe.es/gazeta/dias/1807/07/14/pdfs/GMD-1807-61.pdf#page=8","Abrir facsímil")</f>
        <v>Abrir facsímil</v>
      </c>
      <c r="K1325" s="15" t="s">
        <v>22</v>
      </c>
    </row>
    <row r="1326" spans="1:11" ht="42" customHeight="1">
      <c r="A1326" s="4" t="s">
        <v>3430</v>
      </c>
      <c r="B1326" s="5" t="s">
        <v>3431</v>
      </c>
      <c r="C1326" s="5" t="s">
        <v>49</v>
      </c>
      <c r="D1326" s="5" t="s">
        <v>50</v>
      </c>
      <c r="E1326" s="5" t="s">
        <v>79</v>
      </c>
      <c r="F1326" s="9">
        <v>11</v>
      </c>
      <c r="G1326" s="9">
        <v>120</v>
      </c>
      <c r="H1326" s="5" t="s">
        <v>20</v>
      </c>
      <c r="I1326" s="5" t="s">
        <v>3432</v>
      </c>
      <c r="J1326" s="12" t="str">
        <f>HYPERLINK("https://www.boe.es/gazeta/dias/1807/01/30/pdfs/GMD-1807-11.pdf#page=4","Abrir facsímil")</f>
        <v>Abrir facsímil</v>
      </c>
      <c r="K1326" s="15" t="s">
        <v>22</v>
      </c>
    </row>
    <row r="1327" spans="1:11" ht="42" customHeight="1">
      <c r="A1327" s="4" t="s">
        <v>3433</v>
      </c>
      <c r="B1327" s="5" t="s">
        <v>3434</v>
      </c>
      <c r="C1327" s="5" t="s">
        <v>28</v>
      </c>
      <c r="D1327" s="5" t="s">
        <v>29</v>
      </c>
      <c r="E1327" s="5" t="s">
        <v>572</v>
      </c>
      <c r="F1327" s="9">
        <v>14</v>
      </c>
      <c r="G1327" s="9">
        <v>164</v>
      </c>
      <c r="H1327" s="5" t="s">
        <v>20</v>
      </c>
      <c r="I1327" s="5" t="s">
        <v>3435</v>
      </c>
      <c r="J1327" s="12" t="str">
        <f>HYPERLINK("https://www.boe.es/gazeta/dias/1807/02/10/pdfs/GMD-1807-14.pdf#page=12","Abrir facsímil")</f>
        <v>Abrir facsímil</v>
      </c>
      <c r="K1327" s="15" t="s">
        <v>22</v>
      </c>
    </row>
    <row r="1328" spans="1:11" ht="42" customHeight="1">
      <c r="A1328" s="4" t="s">
        <v>3436</v>
      </c>
      <c r="B1328" s="5" t="s">
        <v>3437</v>
      </c>
      <c r="C1328" s="5" t="s">
        <v>28</v>
      </c>
      <c r="D1328" s="5" t="s">
        <v>29</v>
      </c>
      <c r="E1328" s="5" t="s">
        <v>106</v>
      </c>
      <c r="F1328" s="9">
        <v>39</v>
      </c>
      <c r="G1328" s="9">
        <v>465</v>
      </c>
      <c r="H1328" s="5" t="s">
        <v>20</v>
      </c>
      <c r="I1328" s="5" t="s">
        <v>3438</v>
      </c>
      <c r="J1328" s="12" t="str">
        <f>HYPERLINK("https://www.boe.es/gazeta/dias/1807/05/05/pdfs/GMD-1807-39.pdf#page=7","Abrir facsímil")</f>
        <v>Abrir facsímil</v>
      </c>
      <c r="K1328" s="15" t="s">
        <v>22</v>
      </c>
    </row>
    <row r="1329" spans="1:11" ht="42" customHeight="1">
      <c r="A1329" s="4" t="s">
        <v>3439</v>
      </c>
      <c r="B1329" s="5" t="s">
        <v>3440</v>
      </c>
      <c r="C1329" s="5" t="s">
        <v>34</v>
      </c>
      <c r="D1329" s="5" t="s">
        <v>35</v>
      </c>
      <c r="E1329" s="5" t="s">
        <v>109</v>
      </c>
      <c r="F1329" s="9">
        <v>58</v>
      </c>
      <c r="G1329" s="9">
        <v>688</v>
      </c>
      <c r="H1329" s="5" t="s">
        <v>20</v>
      </c>
      <c r="I1329" s="5" t="s">
        <v>3441</v>
      </c>
      <c r="J1329" s="12" t="str">
        <f>HYPERLINK("https://www.boe.es/gazeta/dias/1807/07/07/pdfs/GMD-1807-58.pdf#page=6","Abrir facsímil")</f>
        <v>Abrir facsímil</v>
      </c>
      <c r="K1329" s="15" t="s">
        <v>22</v>
      </c>
    </row>
    <row r="1330" spans="1:11" ht="42" customHeight="1">
      <c r="A1330" s="4" t="s">
        <v>3442</v>
      </c>
      <c r="B1330" s="5" t="s">
        <v>3443</v>
      </c>
      <c r="C1330" s="5" t="s">
        <v>24</v>
      </c>
      <c r="D1330" s="5" t="s">
        <v>18</v>
      </c>
      <c r="E1330" s="5" t="s">
        <v>25</v>
      </c>
      <c r="F1330" s="9">
        <v>45</v>
      </c>
      <c r="G1330" s="9">
        <v>541</v>
      </c>
      <c r="H1330" s="5" t="s">
        <v>20</v>
      </c>
      <c r="I1330" s="5" t="s">
        <v>3444</v>
      </c>
      <c r="J1330" s="12" t="str">
        <f>HYPERLINK("https://www.boe.es/gazeta/dias/1807/05/26/pdfs/GMD-1807-45.pdf#page=11","Abrir facsímil")</f>
        <v>Abrir facsímil</v>
      </c>
      <c r="K1330" s="15" t="s">
        <v>22</v>
      </c>
    </row>
    <row r="1331" spans="1:11" ht="42" customHeight="1">
      <c r="A1331" s="4" t="s">
        <v>3445</v>
      </c>
      <c r="B1331" s="5" t="s">
        <v>3446</v>
      </c>
      <c r="C1331" s="5" t="s">
        <v>24</v>
      </c>
      <c r="D1331" s="5" t="s">
        <v>18</v>
      </c>
      <c r="E1331" s="5" t="s">
        <v>219</v>
      </c>
      <c r="F1331" s="9">
        <v>56</v>
      </c>
      <c r="G1331" s="9">
        <v>672</v>
      </c>
      <c r="H1331" s="5" t="s">
        <v>20</v>
      </c>
      <c r="I1331" s="5" t="s">
        <v>3447</v>
      </c>
      <c r="J1331" s="12" t="str">
        <f>HYPERLINK("https://www.boe.es/gazeta/dias/1807/07/03/pdfs/GMD-1807-56.pdf#page=10","Abrir facsímil")</f>
        <v>Abrir facsímil</v>
      </c>
      <c r="K1331" s="15" t="s">
        <v>22</v>
      </c>
    </row>
    <row r="1332" spans="1:11" ht="42" customHeight="1">
      <c r="A1332" s="4" t="s">
        <v>3448</v>
      </c>
      <c r="B1332" s="5" t="s">
        <v>3449</v>
      </c>
      <c r="C1332" s="5" t="s">
        <v>24</v>
      </c>
      <c r="D1332" s="5" t="s">
        <v>18</v>
      </c>
      <c r="E1332" s="5" t="s">
        <v>595</v>
      </c>
      <c r="F1332" s="9">
        <v>59</v>
      </c>
      <c r="G1332" s="9">
        <v>705</v>
      </c>
      <c r="H1332" s="5" t="s">
        <v>20</v>
      </c>
      <c r="I1332" s="5" t="s">
        <v>3450</v>
      </c>
      <c r="J1332" s="12" t="str">
        <f>HYPERLINK("https://www.boe.es/gazeta/dias/1807/07/10/pdfs/GMD-1807-59.pdf#page=11","Abrir facsímil")</f>
        <v>Abrir facsímil</v>
      </c>
      <c r="K1332" s="15" t="s">
        <v>22</v>
      </c>
    </row>
    <row r="1333" spans="1:11" ht="42" customHeight="1">
      <c r="A1333" s="4" t="s">
        <v>3451</v>
      </c>
      <c r="B1333" s="5" t="s">
        <v>3452</v>
      </c>
      <c r="C1333" s="5" t="s">
        <v>34</v>
      </c>
      <c r="D1333" s="5" t="s">
        <v>35</v>
      </c>
      <c r="E1333" s="5" t="s">
        <v>183</v>
      </c>
      <c r="F1333" s="9">
        <v>1</v>
      </c>
      <c r="G1333" s="9">
        <v>11</v>
      </c>
      <c r="H1333" s="5" t="s">
        <v>20</v>
      </c>
      <c r="I1333" s="5" t="s">
        <v>3453</v>
      </c>
      <c r="J1333" s="12" t="str">
        <f>HYPERLINK("https://www.boe.es/gazeta/dias/1807/01/02/pdfs/GMD-1807-1.pdf#page=11","Abrir facsímil")</f>
        <v>Abrir facsímil</v>
      </c>
      <c r="K1333" s="15" t="s">
        <v>22</v>
      </c>
    </row>
    <row r="1334" spans="1:11" ht="42" customHeight="1">
      <c r="A1334" s="4" t="s">
        <v>3454</v>
      </c>
      <c r="B1334" s="5" t="s">
        <v>3455</v>
      </c>
      <c r="C1334" s="5" t="s">
        <v>17</v>
      </c>
      <c r="D1334" s="5" t="s">
        <v>18</v>
      </c>
      <c r="E1334" s="5" t="s">
        <v>139</v>
      </c>
      <c r="F1334" s="9">
        <v>110</v>
      </c>
      <c r="G1334" s="9">
        <v>1284</v>
      </c>
      <c r="H1334" s="5" t="s">
        <v>20</v>
      </c>
      <c r="I1334" s="5" t="s">
        <v>3456</v>
      </c>
      <c r="J1334" s="12" t="str">
        <f>HYPERLINK("https://www.boe.es/gazeta/dias/1807/12/11/pdfs/GMD-1807-110.pdf#page=8","Abrir facsímil")</f>
        <v>Abrir facsímil</v>
      </c>
      <c r="K1334" s="15" t="s">
        <v>22</v>
      </c>
    </row>
    <row r="1335" spans="1:11" ht="42" customHeight="1">
      <c r="A1335" s="4" t="s">
        <v>3457</v>
      </c>
      <c r="B1335" s="5" t="s">
        <v>3458</v>
      </c>
      <c r="C1335" s="5" t="s">
        <v>28</v>
      </c>
      <c r="D1335" s="5" t="s">
        <v>29</v>
      </c>
      <c r="E1335" s="5" t="s">
        <v>461</v>
      </c>
      <c r="F1335" s="9">
        <v>99</v>
      </c>
      <c r="G1335" s="9">
        <v>1151</v>
      </c>
      <c r="H1335" s="5" t="s">
        <v>20</v>
      </c>
      <c r="I1335" s="5" t="s">
        <v>3459</v>
      </c>
      <c r="J1335" s="12" t="str">
        <f>HYPERLINK("https://www.boe.es/gazeta/dias/1807/11/06/pdfs/GMD-1807-99.pdf#page=7","Abrir facsímil")</f>
        <v>Abrir facsímil</v>
      </c>
      <c r="K1335" s="15" t="s">
        <v>22</v>
      </c>
    </row>
    <row r="1336" spans="1:11" ht="42" customHeight="1">
      <c r="A1336" s="4" t="s">
        <v>3460</v>
      </c>
      <c r="B1336" s="5" t="s">
        <v>3460</v>
      </c>
      <c r="C1336" s="5" t="s">
        <v>49</v>
      </c>
      <c r="D1336" s="5" t="s">
        <v>50</v>
      </c>
      <c r="E1336" s="5" t="s">
        <v>444</v>
      </c>
      <c r="F1336" s="9">
        <v>95</v>
      </c>
      <c r="G1336" s="9">
        <v>1102</v>
      </c>
      <c r="H1336" s="5" t="s">
        <v>20</v>
      </c>
      <c r="I1336" s="5" t="s">
        <v>3461</v>
      </c>
      <c r="J1336" s="12" t="str">
        <f>HYPERLINK("https://www.boe.es/gazeta/dias/1807/10/23/pdfs/GMD-1807-95.pdf#page=6","Abrir facsímil")</f>
        <v>Abrir facsímil</v>
      </c>
      <c r="K1336" s="15" t="s">
        <v>22</v>
      </c>
    </row>
    <row r="1337" spans="1:11" ht="42" customHeight="1">
      <c r="A1337" s="4" t="s">
        <v>3462</v>
      </c>
      <c r="B1337" s="5" t="s">
        <v>3463</v>
      </c>
      <c r="C1337" s="5" t="s">
        <v>34</v>
      </c>
      <c r="D1337" s="5" t="s">
        <v>35</v>
      </c>
      <c r="E1337" s="5" t="s">
        <v>219</v>
      </c>
      <c r="F1337" s="9">
        <v>56</v>
      </c>
      <c r="G1337" s="9">
        <v>668</v>
      </c>
      <c r="H1337" s="5" t="s">
        <v>20</v>
      </c>
      <c r="I1337" s="5" t="s">
        <v>3464</v>
      </c>
      <c r="J1337" s="12" t="str">
        <f>HYPERLINK("https://www.boe.es/gazeta/dias/1807/07/03/pdfs/GMD-1807-56.pdf#page=6","Abrir facsímil")</f>
        <v>Abrir facsímil</v>
      </c>
      <c r="K1337" s="15" t="s">
        <v>22</v>
      </c>
    </row>
    <row r="1338" spans="1:11" ht="42" customHeight="1">
      <c r="A1338" s="4" t="s">
        <v>3465</v>
      </c>
      <c r="B1338" s="5" t="s">
        <v>3466</v>
      </c>
      <c r="C1338" s="5" t="s">
        <v>28</v>
      </c>
      <c r="D1338" s="5" t="s">
        <v>29</v>
      </c>
      <c r="E1338" s="5" t="s">
        <v>530</v>
      </c>
      <c r="F1338" s="9">
        <v>79</v>
      </c>
      <c r="G1338" s="9">
        <v>919</v>
      </c>
      <c r="H1338" s="5" t="s">
        <v>20</v>
      </c>
      <c r="I1338" s="5" t="s">
        <v>3467</v>
      </c>
      <c r="J1338" s="12" t="str">
        <f>HYPERLINK("https://www.boe.es/gazeta/dias/1807/09/04/pdfs/GMD-1807-79.pdf#page=11","Abrir facsímil")</f>
        <v>Abrir facsímil</v>
      </c>
      <c r="K1338" s="15" t="s">
        <v>22</v>
      </c>
    </row>
    <row r="1339" spans="1:11" ht="42" customHeight="1">
      <c r="A1339" s="4" t="s">
        <v>3465</v>
      </c>
      <c r="B1339" s="5" t="s">
        <v>3466</v>
      </c>
      <c r="C1339" s="5" t="s">
        <v>28</v>
      </c>
      <c r="D1339" s="5" t="s">
        <v>29</v>
      </c>
      <c r="E1339" s="5" t="s">
        <v>530</v>
      </c>
      <c r="F1339" s="9">
        <v>79</v>
      </c>
      <c r="G1339" s="9">
        <v>920</v>
      </c>
      <c r="H1339" s="5" t="s">
        <v>20</v>
      </c>
      <c r="I1339" s="5" t="s">
        <v>3468</v>
      </c>
      <c r="J1339" s="12" t="str">
        <f>HYPERLINK("https://www.boe.es/gazeta/dias/1807/09/04/pdfs/GMD-1807-79.pdf#page=12","Abrir facsímil")</f>
        <v>Abrir facsímil</v>
      </c>
      <c r="K1339" s="15" t="s">
        <v>22</v>
      </c>
    </row>
    <row r="1340" spans="1:11" ht="42" customHeight="1">
      <c r="A1340" s="4" t="s">
        <v>3469</v>
      </c>
      <c r="B1340" s="5" t="s">
        <v>3470</v>
      </c>
      <c r="C1340" s="5" t="s">
        <v>89</v>
      </c>
      <c r="D1340" s="5" t="s">
        <v>90</v>
      </c>
      <c r="E1340" s="5" t="s">
        <v>471</v>
      </c>
      <c r="F1340" s="9">
        <v>51</v>
      </c>
      <c r="G1340" s="9">
        <v>609</v>
      </c>
      <c r="H1340" s="5" t="s">
        <v>20</v>
      </c>
      <c r="I1340" s="5" t="s">
        <v>3471</v>
      </c>
      <c r="J1340" s="12" t="str">
        <f>HYPERLINK("https://www.boe.es/gazeta/dias/1807/06/16/pdfs/GMD-1807-51.pdf#page=11","Abrir facsímil")</f>
        <v>Abrir facsímil</v>
      </c>
      <c r="K1340" s="15" t="s">
        <v>22</v>
      </c>
    </row>
    <row r="1341" spans="1:11" ht="42" customHeight="1">
      <c r="A1341" s="4" t="s">
        <v>3472</v>
      </c>
      <c r="B1341" s="5" t="s">
        <v>3473</v>
      </c>
      <c r="C1341" s="5" t="s">
        <v>34</v>
      </c>
      <c r="D1341" s="5" t="s">
        <v>35</v>
      </c>
      <c r="E1341" s="5" t="s">
        <v>36</v>
      </c>
      <c r="F1341" s="9">
        <v>36</v>
      </c>
      <c r="G1341" s="9">
        <v>430</v>
      </c>
      <c r="H1341" s="5" t="s">
        <v>20</v>
      </c>
      <c r="I1341" s="5" t="s">
        <v>3474</v>
      </c>
      <c r="J1341" s="12" t="str">
        <f>HYPERLINK("https://www.boe.es/gazeta/dias/1807/04/24/pdfs/GMD-1807-36.pdf#page=10","Abrir facsímil")</f>
        <v>Abrir facsímil</v>
      </c>
      <c r="K1341" s="15" t="s">
        <v>22</v>
      </c>
    </row>
    <row r="1342" spans="1:11" ht="42" customHeight="1">
      <c r="A1342" s="4" t="s">
        <v>3475</v>
      </c>
      <c r="B1342" s="5" t="s">
        <v>3476</v>
      </c>
      <c r="C1342" s="5" t="s">
        <v>34</v>
      </c>
      <c r="D1342" s="5" t="s">
        <v>35</v>
      </c>
      <c r="E1342" s="5" t="s">
        <v>36</v>
      </c>
      <c r="F1342" s="9">
        <v>36</v>
      </c>
      <c r="G1342" s="9">
        <v>430</v>
      </c>
      <c r="H1342" s="5" t="s">
        <v>20</v>
      </c>
      <c r="I1342" s="5" t="s">
        <v>3477</v>
      </c>
      <c r="J1342" s="12" t="str">
        <f>HYPERLINK("https://www.boe.es/gazeta/dias/1807/04/24/pdfs/GMD-1807-36.pdf#page=10","Abrir facsímil")</f>
        <v>Abrir facsímil</v>
      </c>
      <c r="K1342" s="15" t="s">
        <v>22</v>
      </c>
    </row>
    <row r="1343" spans="1:11" ht="42" customHeight="1">
      <c r="A1343" s="4" t="s">
        <v>3478</v>
      </c>
      <c r="B1343" s="5" t="s">
        <v>3479</v>
      </c>
      <c r="C1343" s="5" t="s">
        <v>34</v>
      </c>
      <c r="D1343" s="5" t="s">
        <v>35</v>
      </c>
      <c r="E1343" s="5" t="s">
        <v>361</v>
      </c>
      <c r="F1343" s="9">
        <v>113</v>
      </c>
      <c r="G1343" s="9">
        <v>1322</v>
      </c>
      <c r="H1343" s="5" t="s">
        <v>20</v>
      </c>
      <c r="I1343" s="5" t="s">
        <v>3480</v>
      </c>
      <c r="J1343" s="12" t="str">
        <f>HYPERLINK("https://www.boe.es/gazeta/dias/1807/12/22/pdfs/GMD-1807-113.pdf#page=10","Abrir facsímil")</f>
        <v>Abrir facsímil</v>
      </c>
      <c r="K1343" s="15" t="s">
        <v>22</v>
      </c>
    </row>
    <row r="1344" spans="1:11" ht="42" customHeight="1">
      <c r="A1344" s="4" t="s">
        <v>3481</v>
      </c>
      <c r="B1344" s="5" t="s">
        <v>3482</v>
      </c>
      <c r="C1344" s="5" t="s">
        <v>34</v>
      </c>
      <c r="D1344" s="5" t="s">
        <v>35</v>
      </c>
      <c r="E1344" s="5" t="s">
        <v>245</v>
      </c>
      <c r="F1344" s="9">
        <v>97</v>
      </c>
      <c r="G1344" s="9">
        <v>1128</v>
      </c>
      <c r="H1344" s="5" t="s">
        <v>20</v>
      </c>
      <c r="I1344" s="5" t="s">
        <v>3483</v>
      </c>
      <c r="J1344" s="12" t="str">
        <f>HYPERLINK("https://www.boe.es/gazeta/dias/1807/10/30/pdfs/GMD-1807-97.pdf#page=8","Abrir facsímil")</f>
        <v>Abrir facsímil</v>
      </c>
      <c r="K1344" s="15" t="s">
        <v>22</v>
      </c>
    </row>
    <row r="1345" spans="1:11" ht="42" customHeight="1">
      <c r="A1345" s="4" t="s">
        <v>3484</v>
      </c>
      <c r="B1345" s="5" t="s">
        <v>3485</v>
      </c>
      <c r="C1345" s="5" t="s">
        <v>28</v>
      </c>
      <c r="D1345" s="5" t="s">
        <v>29</v>
      </c>
      <c r="E1345" s="5" t="s">
        <v>426</v>
      </c>
      <c r="F1345" s="9">
        <v>93</v>
      </c>
      <c r="G1345" s="9">
        <v>1083</v>
      </c>
      <c r="H1345" s="5" t="s">
        <v>20</v>
      </c>
      <c r="I1345" s="5" t="s">
        <v>3486</v>
      </c>
      <c r="J1345" s="12" t="str">
        <f>HYPERLINK("https://www.boe.es/gazeta/dias/1807/10/16/pdfs/GMD-1807-93.pdf#page=11","Abrir facsímil")</f>
        <v>Abrir facsímil</v>
      </c>
      <c r="K1345" s="15" t="s">
        <v>22</v>
      </c>
    </row>
    <row r="1346" spans="1:11" ht="42" customHeight="1">
      <c r="A1346" s="4" t="s">
        <v>3487</v>
      </c>
      <c r="B1346" s="5" t="s">
        <v>3488</v>
      </c>
      <c r="C1346" s="5" t="s">
        <v>34</v>
      </c>
      <c r="D1346" s="5" t="s">
        <v>35</v>
      </c>
      <c r="E1346" s="5" t="s">
        <v>98</v>
      </c>
      <c r="F1346" s="9">
        <v>34</v>
      </c>
      <c r="G1346" s="9">
        <v>406</v>
      </c>
      <c r="H1346" s="5" t="s">
        <v>20</v>
      </c>
      <c r="I1346" s="5" t="s">
        <v>3489</v>
      </c>
      <c r="J1346" s="12" t="str">
        <f>HYPERLINK("https://www.boe.es/gazeta/dias/1807/04/17/pdfs/GMD-1807-34.pdf#page=10","Abrir facsímil")</f>
        <v>Abrir facsímil</v>
      </c>
      <c r="K1346" s="15" t="s">
        <v>22</v>
      </c>
    </row>
    <row r="1347" spans="1:11" ht="42" customHeight="1">
      <c r="A1347" s="4" t="s">
        <v>3490</v>
      </c>
      <c r="B1347" s="5" t="s">
        <v>3491</v>
      </c>
      <c r="C1347" s="5" t="s">
        <v>34</v>
      </c>
      <c r="D1347" s="5" t="s">
        <v>35</v>
      </c>
      <c r="E1347" s="5" t="s">
        <v>104</v>
      </c>
      <c r="F1347" s="9">
        <v>25</v>
      </c>
      <c r="G1347" s="9">
        <v>300</v>
      </c>
      <c r="H1347" s="5" t="s">
        <v>20</v>
      </c>
      <c r="I1347" s="5" t="s">
        <v>3492</v>
      </c>
      <c r="J1347" s="12" t="str">
        <f>HYPERLINK("https://www.boe.es/gazeta/dias/1807/03/17/pdfs/GMD-1807-25.pdf#page=8","Abrir facsímil")</f>
        <v>Abrir facsímil</v>
      </c>
      <c r="K1347" s="15" t="s">
        <v>22</v>
      </c>
    </row>
    <row r="1348" spans="1:11" ht="42" customHeight="1">
      <c r="A1348" s="4" t="s">
        <v>3493</v>
      </c>
      <c r="B1348" s="5" t="s">
        <v>3494</v>
      </c>
      <c r="C1348" s="5" t="s">
        <v>17</v>
      </c>
      <c r="D1348" s="5" t="s">
        <v>18</v>
      </c>
      <c r="E1348" s="5" t="s">
        <v>305</v>
      </c>
      <c r="F1348" s="9">
        <v>53</v>
      </c>
      <c r="G1348" s="9">
        <v>635</v>
      </c>
      <c r="H1348" s="5" t="s">
        <v>20</v>
      </c>
      <c r="I1348" s="5" t="s">
        <v>3495</v>
      </c>
      <c r="J1348" s="12" t="str">
        <f>HYPERLINK("https://www.boe.es/gazeta/dias/1807/06/23/pdfs/GMD-1807-53.pdf#page=9","Abrir facsímil")</f>
        <v>Abrir facsímil</v>
      </c>
      <c r="K1348" s="15" t="s">
        <v>22</v>
      </c>
    </row>
    <row r="1349" spans="1:11" ht="42" customHeight="1">
      <c r="A1349" s="4" t="s">
        <v>3496</v>
      </c>
      <c r="B1349" s="5" t="s">
        <v>3497</v>
      </c>
      <c r="C1349" s="5" t="s">
        <v>34</v>
      </c>
      <c r="D1349" s="5" t="s">
        <v>35</v>
      </c>
      <c r="E1349" s="5" t="s">
        <v>42</v>
      </c>
      <c r="F1349" s="9">
        <v>31</v>
      </c>
      <c r="G1349" s="9">
        <v>368</v>
      </c>
      <c r="H1349" s="5" t="s">
        <v>20</v>
      </c>
      <c r="I1349" s="5" t="s">
        <v>3498</v>
      </c>
      <c r="J1349" s="12" t="str">
        <f>HYPERLINK("https://www.boe.es/gazeta/dias/1807/04/07/pdfs/GMD-1807-31.pdf#page=8","Abrir facsímil")</f>
        <v>Abrir facsímil</v>
      </c>
      <c r="K1349" s="15" t="s">
        <v>22</v>
      </c>
    </row>
    <row r="1350" spans="1:11" ht="42" customHeight="1">
      <c r="A1350" s="4" t="s">
        <v>3499</v>
      </c>
      <c r="B1350" s="5" t="s">
        <v>3500</v>
      </c>
      <c r="C1350" s="5" t="s">
        <v>28</v>
      </c>
      <c r="D1350" s="5" t="s">
        <v>29</v>
      </c>
      <c r="E1350" s="5" t="s">
        <v>76</v>
      </c>
      <c r="F1350" s="9">
        <v>7</v>
      </c>
      <c r="G1350" s="9">
        <v>82</v>
      </c>
      <c r="H1350" s="5" t="s">
        <v>20</v>
      </c>
      <c r="I1350" s="5" t="s">
        <v>3501</v>
      </c>
      <c r="J1350" s="12" t="str">
        <f>HYPERLINK("https://www.boe.es/gazeta/dias/1807/01/20/pdfs/GMD-1807-7.pdf#page=14","Abrir facsímil")</f>
        <v>Abrir facsímil</v>
      </c>
      <c r="K1350" s="15" t="s">
        <v>22</v>
      </c>
    </row>
    <row r="1351" spans="1:11" ht="42" customHeight="1">
      <c r="A1351" s="4" t="s">
        <v>3502</v>
      </c>
      <c r="B1351" s="5" t="s">
        <v>3503</v>
      </c>
      <c r="C1351" s="5" t="s">
        <v>34</v>
      </c>
      <c r="D1351" s="5" t="s">
        <v>35</v>
      </c>
      <c r="E1351" s="5" t="s">
        <v>215</v>
      </c>
      <c r="F1351" s="9">
        <v>5</v>
      </c>
      <c r="G1351" s="9">
        <v>51</v>
      </c>
      <c r="H1351" s="5" t="s">
        <v>20</v>
      </c>
      <c r="I1351" s="5" t="s">
        <v>3504</v>
      </c>
      <c r="J1351" s="12" t="str">
        <f>HYPERLINK("https://www.boe.es/gazeta/dias/1807/01/16/pdfs/GMD-1807-5.pdf#page=7","Abrir facsímil")</f>
        <v>Abrir facsímil</v>
      </c>
      <c r="K1351" s="15" t="s">
        <v>22</v>
      </c>
    </row>
    <row r="1352" spans="1:11" ht="42" customHeight="1">
      <c r="A1352" s="4" t="s">
        <v>3505</v>
      </c>
      <c r="B1352" s="5" t="s">
        <v>3506</v>
      </c>
      <c r="C1352" s="5" t="s">
        <v>34</v>
      </c>
      <c r="D1352" s="5" t="s">
        <v>35</v>
      </c>
      <c r="E1352" s="5" t="s">
        <v>426</v>
      </c>
      <c r="F1352" s="9">
        <v>93</v>
      </c>
      <c r="G1352" s="9">
        <v>1080</v>
      </c>
      <c r="H1352" s="5" t="s">
        <v>20</v>
      </c>
      <c r="I1352" s="5" t="s">
        <v>3507</v>
      </c>
      <c r="J1352" s="12" t="str">
        <f>HYPERLINK("https://www.boe.es/gazeta/dias/1807/10/16/pdfs/GMD-1807-93.pdf#page=8","Abrir facsímil")</f>
        <v>Abrir facsímil</v>
      </c>
      <c r="K1352" s="15" t="s">
        <v>22</v>
      </c>
    </row>
    <row r="1353" spans="1:11" ht="42" customHeight="1">
      <c r="A1353" s="4" t="s">
        <v>3508</v>
      </c>
      <c r="B1353" s="5" t="s">
        <v>3509</v>
      </c>
      <c r="C1353" s="5" t="s">
        <v>34</v>
      </c>
      <c r="D1353" s="5" t="s">
        <v>35</v>
      </c>
      <c r="E1353" s="5" t="s">
        <v>567</v>
      </c>
      <c r="F1353" s="9">
        <v>55</v>
      </c>
      <c r="G1353" s="9">
        <v>659</v>
      </c>
      <c r="H1353" s="5" t="s">
        <v>20</v>
      </c>
      <c r="I1353" s="5" t="s">
        <v>3510</v>
      </c>
      <c r="J1353" s="12" t="str">
        <f>HYPERLINK("https://www.boe.es/gazeta/dias/1807/06/30/pdfs/GMD-1807-55.pdf#page=9","Abrir facsímil")</f>
        <v>Abrir facsímil</v>
      </c>
      <c r="K1353" s="15" t="s">
        <v>22</v>
      </c>
    </row>
    <row r="1354" spans="1:11" ht="42" customHeight="1">
      <c r="A1354" s="4" t="s">
        <v>3511</v>
      </c>
      <c r="B1354" s="5" t="s">
        <v>3512</v>
      </c>
      <c r="C1354" s="5" t="s">
        <v>28</v>
      </c>
      <c r="D1354" s="5" t="s">
        <v>29</v>
      </c>
      <c r="E1354" s="5" t="s">
        <v>426</v>
      </c>
      <c r="F1354" s="9">
        <v>93</v>
      </c>
      <c r="G1354" s="9">
        <v>1081</v>
      </c>
      <c r="H1354" s="5" t="s">
        <v>20</v>
      </c>
      <c r="I1354" s="5" t="s">
        <v>3513</v>
      </c>
      <c r="J1354" s="12" t="str">
        <f>HYPERLINK("https://www.boe.es/gazeta/dias/1807/10/16/pdfs/GMD-1807-93.pdf#page=9","Abrir facsímil")</f>
        <v>Abrir facsímil</v>
      </c>
      <c r="K1354" s="15" t="s">
        <v>22</v>
      </c>
    </row>
    <row r="1355" spans="1:11" ht="42" customHeight="1">
      <c r="A1355" s="4" t="s">
        <v>3514</v>
      </c>
      <c r="B1355" s="5" t="s">
        <v>3515</v>
      </c>
      <c r="C1355" s="5" t="s">
        <v>28</v>
      </c>
      <c r="D1355" s="5" t="s">
        <v>29</v>
      </c>
      <c r="E1355" s="5" t="s">
        <v>40</v>
      </c>
      <c r="F1355" s="9">
        <v>26</v>
      </c>
      <c r="G1355" s="9">
        <v>310</v>
      </c>
      <c r="H1355" s="5" t="s">
        <v>20</v>
      </c>
      <c r="I1355" s="5" t="s">
        <v>3516</v>
      </c>
      <c r="J1355" s="12" t="str">
        <f>HYPERLINK("https://www.boe.es/gazeta/dias/1807/03/20/pdfs/GMD-1807-26.pdf#page=6","Abrir facsímil")</f>
        <v>Abrir facsímil</v>
      </c>
      <c r="K1355" s="15" t="s">
        <v>22</v>
      </c>
    </row>
    <row r="1356" spans="1:11" ht="42" customHeight="1">
      <c r="A1356" s="4" t="s">
        <v>3517</v>
      </c>
      <c r="B1356" s="5" t="s">
        <v>3517</v>
      </c>
      <c r="C1356" s="5" t="s">
        <v>28</v>
      </c>
      <c r="D1356" s="5" t="s">
        <v>29</v>
      </c>
      <c r="E1356" s="5" t="s">
        <v>120</v>
      </c>
      <c r="F1356" s="9">
        <v>10</v>
      </c>
      <c r="G1356" s="9">
        <v>110</v>
      </c>
      <c r="H1356" s="5" t="s">
        <v>20</v>
      </c>
      <c r="I1356" s="5" t="s">
        <v>3518</v>
      </c>
      <c r="J1356" s="12" t="str">
        <f>HYPERLINK("https://www.boe.es/gazeta/dias/1807/01/27/pdfs/GMD-1807-10.pdf#page=6","Abrir facsímil")</f>
        <v>Abrir facsímil</v>
      </c>
      <c r="K1356" s="15" t="s">
        <v>22</v>
      </c>
    </row>
    <row r="1357" spans="1:11" ht="42" customHeight="1">
      <c r="A1357" s="4" t="s">
        <v>3517</v>
      </c>
      <c r="B1357" s="5" t="s">
        <v>3517</v>
      </c>
      <c r="C1357" s="5" t="s">
        <v>17</v>
      </c>
      <c r="D1357" s="5" t="s">
        <v>18</v>
      </c>
      <c r="E1357" s="5" t="s">
        <v>266</v>
      </c>
      <c r="F1357" s="9">
        <v>67</v>
      </c>
      <c r="G1357" s="9">
        <v>770</v>
      </c>
      <c r="H1357" s="5" t="s">
        <v>20</v>
      </c>
      <c r="I1357" s="5" t="s">
        <v>3519</v>
      </c>
      <c r="J1357" s="12" t="str">
        <f>HYPERLINK("https://www.boe.es/gazeta/dias/1807/07/28/pdfs/GMD-1807-67.pdf#page=6","Abrir facsímil")</f>
        <v>Abrir facsímil</v>
      </c>
      <c r="K1357" s="15" t="s">
        <v>22</v>
      </c>
    </row>
    <row r="1358" spans="1:11" ht="42" customHeight="1">
      <c r="A1358" s="4" t="s">
        <v>3520</v>
      </c>
      <c r="B1358" s="5" t="s">
        <v>3520</v>
      </c>
      <c r="C1358" s="5" t="s">
        <v>34</v>
      </c>
      <c r="D1358" s="5" t="s">
        <v>35</v>
      </c>
      <c r="E1358" s="5" t="s">
        <v>327</v>
      </c>
      <c r="F1358" s="9">
        <v>108</v>
      </c>
      <c r="G1358" s="9">
        <v>1260</v>
      </c>
      <c r="H1358" s="5" t="s">
        <v>20</v>
      </c>
      <c r="I1358" s="5" t="s">
        <v>3521</v>
      </c>
      <c r="J1358" s="12" t="str">
        <f>HYPERLINK("https://www.boe.es/gazeta/dias/1807/12/04/pdfs/GMD-1807-108.pdf#page=8","Abrir facsímil")</f>
        <v>Abrir facsímil</v>
      </c>
      <c r="K1358" s="15" t="s">
        <v>22</v>
      </c>
    </row>
    <row r="1359" spans="1:11" ht="42" customHeight="1">
      <c r="A1359" s="4" t="s">
        <v>3522</v>
      </c>
      <c r="B1359" s="5" t="s">
        <v>3522</v>
      </c>
      <c r="C1359" s="5" t="s">
        <v>49</v>
      </c>
      <c r="D1359" s="5" t="s">
        <v>50</v>
      </c>
      <c r="E1359" s="5" t="s">
        <v>478</v>
      </c>
      <c r="F1359" s="9">
        <v>30</v>
      </c>
      <c r="G1359" s="9">
        <v>355</v>
      </c>
      <c r="H1359" s="5" t="s">
        <v>20</v>
      </c>
      <c r="I1359" s="5" t="s">
        <v>3523</v>
      </c>
      <c r="J1359" s="12" t="str">
        <f>HYPERLINK("https://www.boe.es/gazeta/dias/1807/04/03/pdfs/GMD-1807-30.pdf#page=7","Abrir facsímil")</f>
        <v>Abrir facsímil</v>
      </c>
      <c r="K1359" s="15" t="s">
        <v>22</v>
      </c>
    </row>
    <row r="1360" spans="1:11" ht="42" customHeight="1">
      <c r="A1360" s="4" t="s">
        <v>3524</v>
      </c>
      <c r="B1360" s="5" t="s">
        <v>3525</v>
      </c>
      <c r="C1360" s="5" t="s">
        <v>24</v>
      </c>
      <c r="D1360" s="5" t="s">
        <v>18</v>
      </c>
      <c r="E1360" s="5" t="s">
        <v>620</v>
      </c>
      <c r="F1360" s="9">
        <v>84</v>
      </c>
      <c r="G1360" s="9">
        <v>983</v>
      </c>
      <c r="H1360" s="5" t="s">
        <v>20</v>
      </c>
      <c r="I1360" s="5" t="s">
        <v>3526</v>
      </c>
      <c r="J1360" s="12" t="str">
        <f>HYPERLINK("https://www.boe.es/gazeta/dias/1807/09/22/pdfs/GMD-1807-84.pdf#page=11","Abrir facsímil")</f>
        <v>Abrir facsímil</v>
      </c>
      <c r="K1360" s="15" t="s">
        <v>22</v>
      </c>
    </row>
    <row r="1361" spans="1:11" ht="42" customHeight="1">
      <c r="A1361" s="4" t="s">
        <v>3524</v>
      </c>
      <c r="B1361" s="5" t="s">
        <v>3525</v>
      </c>
      <c r="C1361" s="5" t="s">
        <v>24</v>
      </c>
      <c r="D1361" s="5" t="s">
        <v>18</v>
      </c>
      <c r="E1361" s="5" t="s">
        <v>441</v>
      </c>
      <c r="F1361" s="9">
        <v>92</v>
      </c>
      <c r="G1361" s="9">
        <v>1070</v>
      </c>
      <c r="H1361" s="5" t="s">
        <v>20</v>
      </c>
      <c r="I1361" s="5" t="s">
        <v>3527</v>
      </c>
      <c r="J1361" s="12" t="str">
        <f>HYPERLINK("https://www.boe.es/gazeta/dias/1807/10/13/pdfs/GMD-1807-92.pdf#page=10","Abrir facsímil")</f>
        <v>Abrir facsímil</v>
      </c>
      <c r="K1361" s="15" t="s">
        <v>22</v>
      </c>
    </row>
    <row r="1362" spans="1:11" ht="42" customHeight="1">
      <c r="A1362" s="4" t="s">
        <v>3524</v>
      </c>
      <c r="B1362" s="5" t="s">
        <v>3525</v>
      </c>
      <c r="C1362" s="5" t="s">
        <v>24</v>
      </c>
      <c r="D1362" s="5" t="s">
        <v>18</v>
      </c>
      <c r="E1362" s="5" t="s">
        <v>461</v>
      </c>
      <c r="F1362" s="9">
        <v>99</v>
      </c>
      <c r="G1362" s="9">
        <v>1154</v>
      </c>
      <c r="H1362" s="5" t="s">
        <v>20</v>
      </c>
      <c r="I1362" s="5" t="s">
        <v>3528</v>
      </c>
      <c r="J1362" s="12" t="str">
        <f>HYPERLINK("https://www.boe.es/gazeta/dias/1807/11/06/pdfs/GMD-1807-99.pdf#page=10","Abrir facsímil")</f>
        <v>Abrir facsímil</v>
      </c>
      <c r="K1362" s="15" t="s">
        <v>22</v>
      </c>
    </row>
    <row r="1363" spans="1:11" ht="42" customHeight="1">
      <c r="A1363" s="4" t="s">
        <v>3529</v>
      </c>
      <c r="B1363" s="5" t="s">
        <v>3530</v>
      </c>
      <c r="C1363" s="5" t="s">
        <v>34</v>
      </c>
      <c r="D1363" s="5" t="s">
        <v>35</v>
      </c>
      <c r="E1363" s="5" t="s">
        <v>156</v>
      </c>
      <c r="F1363" s="9">
        <v>74</v>
      </c>
      <c r="G1363" s="9">
        <v>856</v>
      </c>
      <c r="H1363" s="5" t="s">
        <v>20</v>
      </c>
      <c r="I1363" s="5" t="s">
        <v>3531</v>
      </c>
      <c r="J1363" s="12" t="str">
        <f>HYPERLINK("https://www.boe.es/gazeta/dias/1807/08/18/pdfs/GMD-1807-74.pdf#page=8","Abrir facsímil")</f>
        <v>Abrir facsímil</v>
      </c>
      <c r="K1363" s="15" t="s">
        <v>22</v>
      </c>
    </row>
    <row r="1364" spans="1:11" ht="42" customHeight="1">
      <c r="A1364" s="4" t="s">
        <v>3532</v>
      </c>
      <c r="B1364" s="5" t="s">
        <v>3533</v>
      </c>
      <c r="C1364" s="5" t="s">
        <v>89</v>
      </c>
      <c r="D1364" s="5" t="s">
        <v>90</v>
      </c>
      <c r="E1364" s="5" t="s">
        <v>114</v>
      </c>
      <c r="F1364" s="9">
        <v>46</v>
      </c>
      <c r="G1364" s="9">
        <v>553</v>
      </c>
      <c r="H1364" s="5" t="s">
        <v>20</v>
      </c>
      <c r="I1364" s="5" t="s">
        <v>3534</v>
      </c>
      <c r="J1364" s="12" t="str">
        <f>HYPERLINK("https://www.boe.es/gazeta/dias/1807/05/29/pdfs/GMD-1807-46.pdf#page=11","Abrir facsímil")</f>
        <v>Abrir facsímil</v>
      </c>
      <c r="K1364" s="15" t="s">
        <v>22</v>
      </c>
    </row>
    <row r="1365" spans="1:11" ht="42" customHeight="1">
      <c r="A1365" s="4" t="s">
        <v>3535</v>
      </c>
      <c r="B1365" s="5" t="s">
        <v>3536</v>
      </c>
      <c r="C1365" s="5" t="s">
        <v>34</v>
      </c>
      <c r="D1365" s="5" t="s">
        <v>35</v>
      </c>
      <c r="E1365" s="5" t="s">
        <v>111</v>
      </c>
      <c r="F1365" s="9">
        <v>90</v>
      </c>
      <c r="G1365" s="9">
        <v>1044</v>
      </c>
      <c r="H1365" s="5" t="s">
        <v>20</v>
      </c>
      <c r="I1365" s="5" t="s">
        <v>3537</v>
      </c>
      <c r="J1365" s="12" t="str">
        <f>HYPERLINK("https://www.boe.es/gazeta/dias/1807/10/06/pdfs/GMD-1807-90.pdf#page=12","Abrir facsímil")</f>
        <v>Abrir facsímil</v>
      </c>
      <c r="K1365" s="15" t="s">
        <v>22</v>
      </c>
    </row>
    <row r="1366" spans="1:11" ht="42" customHeight="1">
      <c r="A1366" s="4" t="s">
        <v>3538</v>
      </c>
      <c r="B1366" s="5" t="s">
        <v>3538</v>
      </c>
      <c r="C1366" s="5" t="s">
        <v>28</v>
      </c>
      <c r="D1366" s="5" t="s">
        <v>29</v>
      </c>
      <c r="E1366" s="5" t="s">
        <v>406</v>
      </c>
      <c r="F1366" s="9">
        <v>82</v>
      </c>
      <c r="G1366" s="9">
        <v>955</v>
      </c>
      <c r="H1366" s="5" t="s">
        <v>20</v>
      </c>
      <c r="I1366" s="5" t="s">
        <v>3539</v>
      </c>
      <c r="J1366" s="12" t="str">
        <f>HYPERLINK("https://www.boe.es/gazeta/dias/1807/09/15/pdfs/GMD-1807-82.pdf#page=7","Abrir facsímil")</f>
        <v>Abrir facsímil</v>
      </c>
      <c r="K1366" s="15" t="s">
        <v>22</v>
      </c>
    </row>
    <row r="1367" spans="1:11" ht="42" customHeight="1">
      <c r="A1367" s="4" t="s">
        <v>3540</v>
      </c>
      <c r="B1367" s="5" t="s">
        <v>3541</v>
      </c>
      <c r="C1367" s="5" t="s">
        <v>34</v>
      </c>
      <c r="D1367" s="5" t="s">
        <v>35</v>
      </c>
      <c r="E1367" s="5" t="s">
        <v>1354</v>
      </c>
      <c r="F1367" s="9">
        <v>83</v>
      </c>
      <c r="G1367" s="9">
        <v>969</v>
      </c>
      <c r="H1367" s="5" t="s">
        <v>20</v>
      </c>
      <c r="I1367" s="5" t="s">
        <v>3542</v>
      </c>
      <c r="J1367" s="12" t="str">
        <f>HYPERLINK("https://www.boe.es/gazeta/dias/1807/09/18/pdfs/GMD-1807-83.pdf#page=9","Abrir facsímil")</f>
        <v>Abrir facsímil</v>
      </c>
      <c r="K1367" s="15" t="s">
        <v>22</v>
      </c>
    </row>
    <row r="1368" spans="1:11" ht="42" customHeight="1">
      <c r="A1368" s="4" t="s">
        <v>3543</v>
      </c>
      <c r="B1368" s="5" t="s">
        <v>3543</v>
      </c>
      <c r="C1368" s="5" t="s">
        <v>28</v>
      </c>
      <c r="D1368" s="5" t="s">
        <v>29</v>
      </c>
      <c r="E1368" s="5" t="s">
        <v>179</v>
      </c>
      <c r="F1368" s="9">
        <v>100</v>
      </c>
      <c r="G1368" s="9">
        <v>1164</v>
      </c>
      <c r="H1368" s="5" t="s">
        <v>20</v>
      </c>
      <c r="I1368" s="5" t="s">
        <v>3544</v>
      </c>
      <c r="J1368" s="12" t="str">
        <f>HYPERLINK("https://www.boe.es/gazeta/dias/1807/11/10/pdfs/GMD-1807-100.pdf#page=8","Abrir facsímil")</f>
        <v>Abrir facsímil</v>
      </c>
      <c r="K1368" s="15" t="s">
        <v>22</v>
      </c>
    </row>
    <row r="1369" spans="1:11" ht="42" customHeight="1">
      <c r="A1369" s="4" t="s">
        <v>3545</v>
      </c>
      <c r="B1369" s="5" t="s">
        <v>3546</v>
      </c>
      <c r="C1369" s="5" t="s">
        <v>34</v>
      </c>
      <c r="D1369" s="5" t="s">
        <v>35</v>
      </c>
      <c r="E1369" s="5" t="s">
        <v>254</v>
      </c>
      <c r="F1369" s="9" t="s">
        <v>255</v>
      </c>
      <c r="G1369" s="9">
        <v>789</v>
      </c>
      <c r="H1369" s="5" t="s">
        <v>20</v>
      </c>
      <c r="I1369" s="5" t="s">
        <v>3547</v>
      </c>
      <c r="J1369" s="12" t="str">
        <f>HYPERLINK("https://www.boe.es/gazeta/dias/1807/08/02/pdfs/GMD-1807-69E.pdf#page=1","Abrir facsímil")</f>
        <v>Abrir facsímil</v>
      </c>
      <c r="K1369" s="15" t="s">
        <v>22</v>
      </c>
    </row>
    <row r="1370" spans="1:11" ht="42" customHeight="1">
      <c r="A1370" s="4" t="s">
        <v>3548</v>
      </c>
      <c r="B1370" s="5" t="s">
        <v>3549</v>
      </c>
      <c r="C1370" s="5" t="s">
        <v>252</v>
      </c>
      <c r="D1370" s="5" t="s">
        <v>253</v>
      </c>
      <c r="E1370" s="5" t="s">
        <v>254</v>
      </c>
      <c r="F1370" s="9" t="s">
        <v>255</v>
      </c>
      <c r="G1370" s="9">
        <v>792</v>
      </c>
      <c r="H1370" s="5" t="s">
        <v>20</v>
      </c>
      <c r="I1370" s="5" t="s">
        <v>3550</v>
      </c>
      <c r="J1370" s="12" t="str">
        <f>HYPERLINK("https://www.boe.es/gazeta/dias/1807/08/02/pdfs/GMD-1807-69E.pdf#page=4","Abrir facsímil")</f>
        <v>Abrir facsímil</v>
      </c>
      <c r="K1370" s="15" t="s">
        <v>22</v>
      </c>
    </row>
    <row r="1371" spans="1:11" ht="42" customHeight="1">
      <c r="A1371" s="4" t="s">
        <v>3551</v>
      </c>
      <c r="B1371" s="5" t="s">
        <v>3551</v>
      </c>
      <c r="C1371" s="5" t="s">
        <v>28</v>
      </c>
      <c r="D1371" s="5" t="s">
        <v>29</v>
      </c>
      <c r="E1371" s="5" t="s">
        <v>346</v>
      </c>
      <c r="F1371" s="9">
        <v>21</v>
      </c>
      <c r="G1371" s="9">
        <v>245</v>
      </c>
      <c r="H1371" s="5" t="s">
        <v>20</v>
      </c>
      <c r="I1371" s="5" t="s">
        <v>3552</v>
      </c>
      <c r="J1371" s="12" t="str">
        <f>HYPERLINK("https://www.boe.es/gazeta/dias/1807/03/03/pdfs/GMD-1807-21.pdf#page=9","Abrir facsímil")</f>
        <v>Abrir facsímil</v>
      </c>
      <c r="K1371" s="15" t="s">
        <v>22</v>
      </c>
    </row>
    <row r="1372" spans="1:11" ht="42" customHeight="1">
      <c r="A1372" s="4" t="s">
        <v>3553</v>
      </c>
      <c r="B1372" s="5" t="s">
        <v>3554</v>
      </c>
      <c r="C1372" s="5" t="s">
        <v>34</v>
      </c>
      <c r="D1372" s="5" t="s">
        <v>35</v>
      </c>
      <c r="E1372" s="5" t="s">
        <v>567</v>
      </c>
      <c r="F1372" s="9">
        <v>55</v>
      </c>
      <c r="G1372" s="9">
        <v>659</v>
      </c>
      <c r="H1372" s="5" t="s">
        <v>20</v>
      </c>
      <c r="I1372" s="5" t="s">
        <v>3555</v>
      </c>
      <c r="J1372" s="12" t="str">
        <f>HYPERLINK("https://www.boe.es/gazeta/dias/1807/06/30/pdfs/GMD-1807-55.pdf#page=9","Abrir facsímil")</f>
        <v>Abrir facsímil</v>
      </c>
      <c r="K1372" s="15" t="s">
        <v>22</v>
      </c>
    </row>
    <row r="1373" spans="1:11" ht="42" customHeight="1">
      <c r="A1373" s="4" t="s">
        <v>3556</v>
      </c>
      <c r="B1373" s="5" t="s">
        <v>3556</v>
      </c>
      <c r="C1373" s="5" t="s">
        <v>49</v>
      </c>
      <c r="D1373" s="5" t="s">
        <v>50</v>
      </c>
      <c r="E1373" s="5" t="s">
        <v>346</v>
      </c>
      <c r="F1373" s="9">
        <v>21</v>
      </c>
      <c r="G1373" s="9">
        <v>240</v>
      </c>
      <c r="H1373" s="5" t="s">
        <v>20</v>
      </c>
      <c r="I1373" s="5" t="s">
        <v>3557</v>
      </c>
      <c r="J1373" s="12" t="str">
        <f>HYPERLINK("https://www.boe.es/gazeta/dias/1807/03/03/pdfs/GMD-1807-21.pdf#page=4","Abrir facsímil")</f>
        <v>Abrir facsímil</v>
      </c>
      <c r="K1373" s="15" t="s">
        <v>22</v>
      </c>
    </row>
    <row r="1374" spans="1:11" ht="42" customHeight="1">
      <c r="A1374" s="4" t="s">
        <v>3556</v>
      </c>
      <c r="B1374" s="5" t="s">
        <v>3556</v>
      </c>
      <c r="C1374" s="5" t="s">
        <v>28</v>
      </c>
      <c r="D1374" s="5" t="s">
        <v>29</v>
      </c>
      <c r="E1374" s="5" t="s">
        <v>245</v>
      </c>
      <c r="F1374" s="9">
        <v>97</v>
      </c>
      <c r="G1374" s="9">
        <v>1126</v>
      </c>
      <c r="H1374" s="5" t="s">
        <v>20</v>
      </c>
      <c r="I1374" s="5" t="s">
        <v>3558</v>
      </c>
      <c r="J1374" s="12" t="str">
        <f>HYPERLINK("https://www.boe.es/gazeta/dias/1807/10/30/pdfs/GMD-1807-97.pdf#page=6","Abrir facsímil")</f>
        <v>Abrir facsímil</v>
      </c>
      <c r="K1374" s="15" t="s">
        <v>22</v>
      </c>
    </row>
    <row r="1375" spans="1:11" ht="42" customHeight="1">
      <c r="A1375" s="4" t="s">
        <v>3559</v>
      </c>
      <c r="B1375" s="5" t="s">
        <v>3559</v>
      </c>
      <c r="C1375" s="5" t="s">
        <v>34</v>
      </c>
      <c r="D1375" s="5" t="s">
        <v>35</v>
      </c>
      <c r="E1375" s="5" t="s">
        <v>530</v>
      </c>
      <c r="F1375" s="9">
        <v>79</v>
      </c>
      <c r="G1375" s="9">
        <v>914</v>
      </c>
      <c r="H1375" s="5" t="s">
        <v>20</v>
      </c>
      <c r="I1375" s="5" t="s">
        <v>3560</v>
      </c>
      <c r="J1375" s="12" t="str">
        <f>HYPERLINK("https://www.boe.es/gazeta/dias/1807/09/04/pdfs/GMD-1807-79.pdf#page=6","Abrir facsímil")</f>
        <v>Abrir facsímil</v>
      </c>
      <c r="K1375" s="15" t="s">
        <v>22</v>
      </c>
    </row>
    <row r="1376" spans="1:11" ht="42" customHeight="1">
      <c r="A1376" s="4" t="s">
        <v>3561</v>
      </c>
      <c r="B1376" s="5" t="s">
        <v>3561</v>
      </c>
      <c r="C1376" s="5" t="s">
        <v>49</v>
      </c>
      <c r="D1376" s="5" t="s">
        <v>50</v>
      </c>
      <c r="E1376" s="5" t="s">
        <v>221</v>
      </c>
      <c r="F1376" s="9">
        <v>73</v>
      </c>
      <c r="G1376" s="9">
        <v>838</v>
      </c>
      <c r="H1376" s="5" t="s">
        <v>20</v>
      </c>
      <c r="I1376" s="5" t="s">
        <v>3562</v>
      </c>
      <c r="J1376" s="12" t="str">
        <f>HYPERLINK("https://www.boe.es/gazeta/dias/1807/08/14/pdfs/GMD-1807-73.pdf#page=2","Abrir facsímil")</f>
        <v>Abrir facsímil</v>
      </c>
      <c r="K1376" s="15" t="s">
        <v>22</v>
      </c>
    </row>
    <row r="1377" spans="1:11" ht="42" customHeight="1">
      <c r="A1377" s="4" t="s">
        <v>3563</v>
      </c>
      <c r="B1377" s="5" t="s">
        <v>3564</v>
      </c>
      <c r="C1377" s="5" t="s">
        <v>49</v>
      </c>
      <c r="D1377" s="5" t="s">
        <v>50</v>
      </c>
      <c r="E1377" s="5" t="s">
        <v>464</v>
      </c>
      <c r="F1377" s="9">
        <v>18</v>
      </c>
      <c r="G1377" s="9">
        <v>210</v>
      </c>
      <c r="H1377" s="5" t="s">
        <v>20</v>
      </c>
      <c r="I1377" s="5" t="s">
        <v>3565</v>
      </c>
      <c r="J1377" s="12" t="str">
        <f>HYPERLINK("https://www.boe.es/gazeta/dias/1807/02/24/pdfs/GMD-1807-18.pdf#page=10","Abrir facsímil")</f>
        <v>Abrir facsímil</v>
      </c>
      <c r="K1377" s="15" t="s">
        <v>22</v>
      </c>
    </row>
    <row r="1378" spans="1:11" ht="42" customHeight="1">
      <c r="A1378" s="4" t="s">
        <v>3566</v>
      </c>
      <c r="B1378" s="5" t="s">
        <v>3566</v>
      </c>
      <c r="C1378" s="5" t="s">
        <v>28</v>
      </c>
      <c r="D1378" s="5" t="s">
        <v>29</v>
      </c>
      <c r="E1378" s="5" t="s">
        <v>406</v>
      </c>
      <c r="F1378" s="9">
        <v>82</v>
      </c>
      <c r="G1378" s="9">
        <v>955</v>
      </c>
      <c r="H1378" s="5" t="s">
        <v>20</v>
      </c>
      <c r="I1378" s="5" t="s">
        <v>3567</v>
      </c>
      <c r="J1378" s="12" t="str">
        <f>HYPERLINK("https://www.boe.es/gazeta/dias/1807/09/15/pdfs/GMD-1807-82.pdf#page=7","Abrir facsímil")</f>
        <v>Abrir facsímil</v>
      </c>
      <c r="K1378" s="15" t="s">
        <v>22</v>
      </c>
    </row>
    <row r="1379" spans="1:11" ht="42" customHeight="1">
      <c r="A1379" s="4" t="s">
        <v>3568</v>
      </c>
      <c r="B1379" s="5" t="s">
        <v>3568</v>
      </c>
      <c r="C1379" s="5" t="s">
        <v>28</v>
      </c>
      <c r="D1379" s="5" t="s">
        <v>29</v>
      </c>
      <c r="E1379" s="5" t="s">
        <v>215</v>
      </c>
      <c r="F1379" s="9">
        <v>5</v>
      </c>
      <c r="G1379" s="9">
        <v>46</v>
      </c>
      <c r="H1379" s="5" t="s">
        <v>20</v>
      </c>
      <c r="I1379" s="5" t="s">
        <v>3569</v>
      </c>
      <c r="J1379" s="12" t="str">
        <f>HYPERLINK("https://www.boe.es/gazeta/dias/1807/01/16/pdfs/GMD-1807-5.pdf#page=2","Abrir facsímil")</f>
        <v>Abrir facsímil</v>
      </c>
      <c r="K1379" s="15" t="s">
        <v>22</v>
      </c>
    </row>
    <row r="1380" spans="1:11" ht="42" customHeight="1">
      <c r="A1380" s="4" t="s">
        <v>3570</v>
      </c>
      <c r="B1380" s="5" t="s">
        <v>3570</v>
      </c>
      <c r="C1380" s="5" t="s">
        <v>252</v>
      </c>
      <c r="D1380" s="5" t="s">
        <v>253</v>
      </c>
      <c r="E1380" s="5" t="s">
        <v>314</v>
      </c>
      <c r="F1380" s="9" t="s">
        <v>315</v>
      </c>
      <c r="G1380" s="9">
        <v>1226</v>
      </c>
      <c r="H1380" s="5" t="s">
        <v>20</v>
      </c>
      <c r="I1380" s="5" t="s">
        <v>3571</v>
      </c>
      <c r="J1380" s="12" t="str">
        <f>HYPERLINK("https://www.boe.es/gazeta/dias/1807/11/26/pdfs/GMD-1807-105E.pdf#page=10","Abrir facsímil")</f>
        <v>Abrir facsímil</v>
      </c>
      <c r="K1380" s="15" t="s">
        <v>22</v>
      </c>
    </row>
    <row r="1381" spans="1:11" ht="42" customHeight="1">
      <c r="A1381" s="4" t="s">
        <v>3572</v>
      </c>
      <c r="B1381" s="5" t="s">
        <v>3573</v>
      </c>
      <c r="C1381" s="5" t="s">
        <v>34</v>
      </c>
      <c r="D1381" s="5" t="s">
        <v>35</v>
      </c>
      <c r="E1381" s="5" t="s">
        <v>76</v>
      </c>
      <c r="F1381" s="9">
        <v>7</v>
      </c>
      <c r="G1381" s="9">
        <v>71</v>
      </c>
      <c r="H1381" s="5" t="s">
        <v>20</v>
      </c>
      <c r="I1381" s="5" t="s">
        <v>3574</v>
      </c>
      <c r="J1381" s="12" t="str">
        <f>HYPERLINK("https://www.boe.es/gazeta/dias/1807/01/20/pdfs/GMD-1807-7.pdf#page=3","Abrir facsímil")</f>
        <v>Abrir facsímil</v>
      </c>
      <c r="K1381" s="15" t="s">
        <v>22</v>
      </c>
    </row>
    <row r="1382" spans="1:11" ht="42" customHeight="1">
      <c r="A1382" s="4" t="s">
        <v>3575</v>
      </c>
      <c r="B1382" s="5" t="s">
        <v>3575</v>
      </c>
      <c r="C1382" s="5" t="s">
        <v>28</v>
      </c>
      <c r="D1382" s="5" t="s">
        <v>29</v>
      </c>
      <c r="E1382" s="5" t="s">
        <v>390</v>
      </c>
      <c r="F1382" s="9">
        <v>24</v>
      </c>
      <c r="G1382" s="9">
        <v>285</v>
      </c>
      <c r="H1382" s="5" t="s">
        <v>20</v>
      </c>
      <c r="I1382" s="5" t="s">
        <v>3576</v>
      </c>
      <c r="J1382" s="12" t="str">
        <f>HYPERLINK("https://www.boe.es/gazeta/dias/1807/03/13/pdfs/GMD-1807-24.pdf#page=9","Abrir facsímil")</f>
        <v>Abrir facsímil</v>
      </c>
      <c r="K1382" s="15" t="s">
        <v>22</v>
      </c>
    </row>
    <row r="1383" spans="1:11" ht="42" customHeight="1">
      <c r="A1383" s="4" t="s">
        <v>3577</v>
      </c>
      <c r="B1383" s="5" t="s">
        <v>3578</v>
      </c>
      <c r="C1383" s="5" t="s">
        <v>17</v>
      </c>
      <c r="D1383" s="5" t="s">
        <v>18</v>
      </c>
      <c r="E1383" s="5" t="s">
        <v>478</v>
      </c>
      <c r="F1383" s="9">
        <v>30</v>
      </c>
      <c r="G1383" s="9">
        <v>359</v>
      </c>
      <c r="H1383" s="5" t="s">
        <v>20</v>
      </c>
      <c r="I1383" s="5" t="s">
        <v>3579</v>
      </c>
      <c r="J1383" s="12" t="str">
        <f>HYPERLINK("https://www.boe.es/gazeta/dias/1807/04/03/pdfs/GMD-1807-30.pdf#page=11","Abrir facsímil")</f>
        <v>Abrir facsímil</v>
      </c>
      <c r="K1383" s="15" t="s">
        <v>22</v>
      </c>
    </row>
    <row r="1384" spans="1:11" ht="42" customHeight="1">
      <c r="A1384" s="4" t="s">
        <v>3580</v>
      </c>
      <c r="B1384" s="5" t="s">
        <v>3581</v>
      </c>
      <c r="C1384" s="5" t="s">
        <v>34</v>
      </c>
      <c r="D1384" s="5" t="s">
        <v>35</v>
      </c>
      <c r="E1384" s="5" t="s">
        <v>109</v>
      </c>
      <c r="F1384" s="9">
        <v>58</v>
      </c>
      <c r="G1384" s="9">
        <v>689</v>
      </c>
      <c r="H1384" s="5" t="s">
        <v>20</v>
      </c>
      <c r="I1384" s="5" t="s">
        <v>3582</v>
      </c>
      <c r="J1384" s="12" t="str">
        <f>HYPERLINK("https://www.boe.es/gazeta/dias/1807/07/07/pdfs/GMD-1807-58.pdf#page=7","Abrir facsímil")</f>
        <v>Abrir facsímil</v>
      </c>
      <c r="K1384" s="15" t="s">
        <v>22</v>
      </c>
    </row>
    <row r="1385" spans="1:11" ht="42" customHeight="1">
      <c r="A1385" s="4" t="s">
        <v>3583</v>
      </c>
      <c r="B1385" s="5" t="s">
        <v>3584</v>
      </c>
      <c r="C1385" s="5" t="s">
        <v>28</v>
      </c>
      <c r="D1385" s="5" t="s">
        <v>29</v>
      </c>
      <c r="E1385" s="5" t="s">
        <v>2914</v>
      </c>
      <c r="F1385" s="9">
        <v>29</v>
      </c>
      <c r="G1385" s="9">
        <v>344</v>
      </c>
      <c r="H1385" s="5" t="s">
        <v>20</v>
      </c>
      <c r="I1385" s="5" t="s">
        <v>3585</v>
      </c>
      <c r="J1385" s="12" t="str">
        <f>HYPERLINK("https://www.boe.es/gazeta/dias/1807/03/31/pdfs/GMD-1807-29.pdf#page=8","Abrir facsímil")</f>
        <v>Abrir facsímil</v>
      </c>
      <c r="K1385" s="15" t="s">
        <v>22</v>
      </c>
    </row>
    <row r="1386" spans="1:11" ht="42" customHeight="1">
      <c r="A1386" s="4" t="s">
        <v>3586</v>
      </c>
      <c r="B1386" s="5" t="s">
        <v>3587</v>
      </c>
      <c r="C1386" s="5" t="s">
        <v>34</v>
      </c>
      <c r="D1386" s="5" t="s">
        <v>35</v>
      </c>
      <c r="E1386" s="5" t="s">
        <v>42</v>
      </c>
      <c r="F1386" s="9">
        <v>31</v>
      </c>
      <c r="G1386" s="9">
        <v>368</v>
      </c>
      <c r="H1386" s="5" t="s">
        <v>20</v>
      </c>
      <c r="I1386" s="5" t="s">
        <v>3588</v>
      </c>
      <c r="J1386" s="12" t="str">
        <f>HYPERLINK("https://www.boe.es/gazeta/dias/1807/04/07/pdfs/GMD-1807-31.pdf#page=8","Abrir facsímil")</f>
        <v>Abrir facsímil</v>
      </c>
      <c r="K1386" s="15" t="s">
        <v>22</v>
      </c>
    </row>
    <row r="1387" spans="1:11" ht="42" customHeight="1">
      <c r="A1387" s="4" t="s">
        <v>3589</v>
      </c>
      <c r="B1387" s="5" t="s">
        <v>3590</v>
      </c>
      <c r="C1387" s="5" t="s">
        <v>34</v>
      </c>
      <c r="D1387" s="5" t="s">
        <v>35</v>
      </c>
      <c r="E1387" s="5" t="s">
        <v>361</v>
      </c>
      <c r="F1387" s="9">
        <v>113</v>
      </c>
      <c r="G1387" s="9">
        <v>1322</v>
      </c>
      <c r="H1387" s="5" t="s">
        <v>20</v>
      </c>
      <c r="I1387" s="5" t="s">
        <v>3591</v>
      </c>
      <c r="J1387" s="12" t="str">
        <f>HYPERLINK("https://www.boe.es/gazeta/dias/1807/12/22/pdfs/GMD-1807-113.pdf#page=10","Abrir facsímil")</f>
        <v>Abrir facsímil</v>
      </c>
      <c r="K1387" s="15" t="s">
        <v>22</v>
      </c>
    </row>
    <row r="1388" spans="1:11" ht="42" customHeight="1">
      <c r="A1388" s="4" t="s">
        <v>3592</v>
      </c>
      <c r="B1388" s="5" t="s">
        <v>3593</v>
      </c>
      <c r="C1388" s="5" t="s">
        <v>89</v>
      </c>
      <c r="D1388" s="5" t="s">
        <v>90</v>
      </c>
      <c r="E1388" s="5" t="s">
        <v>259</v>
      </c>
      <c r="F1388" s="9">
        <v>3</v>
      </c>
      <c r="G1388" s="9">
        <v>32</v>
      </c>
      <c r="H1388" s="5" t="s">
        <v>20</v>
      </c>
      <c r="I1388" s="5" t="s">
        <v>3594</v>
      </c>
      <c r="J1388" s="12" t="str">
        <f>HYPERLINK("https://www.boe.es/gazeta/dias/1807/01/09/pdfs/GMD-1807-3.pdf#page=12","Abrir facsímil")</f>
        <v>Abrir facsímil</v>
      </c>
      <c r="K1388" s="15" t="s">
        <v>22</v>
      </c>
    </row>
    <row r="1389" spans="1:11" ht="42" customHeight="1">
      <c r="A1389" s="4" t="s">
        <v>3595</v>
      </c>
      <c r="B1389" s="5" t="s">
        <v>3596</v>
      </c>
      <c r="C1389" s="5" t="s">
        <v>24</v>
      </c>
      <c r="D1389" s="5" t="s">
        <v>18</v>
      </c>
      <c r="E1389" s="5" t="s">
        <v>109</v>
      </c>
      <c r="F1389" s="9">
        <v>58</v>
      </c>
      <c r="G1389" s="9">
        <v>691</v>
      </c>
      <c r="H1389" s="5" t="s">
        <v>20</v>
      </c>
      <c r="I1389" s="5" t="s">
        <v>3597</v>
      </c>
      <c r="J1389" s="12" t="str">
        <f>HYPERLINK("https://www.boe.es/gazeta/dias/1807/07/07/pdfs/GMD-1807-58.pdf#page=9","Abrir facsímil")</f>
        <v>Abrir facsímil</v>
      </c>
      <c r="K1389" s="15" t="s">
        <v>22</v>
      </c>
    </row>
    <row r="1390" spans="1:11" ht="42" customHeight="1">
      <c r="A1390" s="4" t="s">
        <v>3598</v>
      </c>
      <c r="B1390" s="5" t="s">
        <v>3599</v>
      </c>
      <c r="C1390" s="5" t="s">
        <v>28</v>
      </c>
      <c r="D1390" s="5" t="s">
        <v>29</v>
      </c>
      <c r="E1390" s="5" t="s">
        <v>91</v>
      </c>
      <c r="F1390" s="9">
        <v>109</v>
      </c>
      <c r="G1390" s="9">
        <v>1275</v>
      </c>
      <c r="H1390" s="5" t="s">
        <v>20</v>
      </c>
      <c r="I1390" s="5" t="s">
        <v>3600</v>
      </c>
      <c r="J1390" s="12" t="str">
        <f>HYPERLINK("https://www.boe.es/gazeta/dias/1807/12/08/pdfs/GMD-1807-109.pdf#page=11","Abrir facsímil")</f>
        <v>Abrir facsímil</v>
      </c>
      <c r="K1390" s="15" t="s">
        <v>22</v>
      </c>
    </row>
    <row r="1391" spans="1:11" ht="42" customHeight="1">
      <c r="A1391" s="4" t="s">
        <v>3601</v>
      </c>
      <c r="B1391" s="5" t="s">
        <v>3602</v>
      </c>
      <c r="C1391" s="5" t="s">
        <v>24</v>
      </c>
      <c r="D1391" s="5" t="s">
        <v>18</v>
      </c>
      <c r="E1391" s="5" t="s">
        <v>208</v>
      </c>
      <c r="F1391" s="9">
        <v>42</v>
      </c>
      <c r="G1391" s="9">
        <v>504</v>
      </c>
      <c r="H1391" s="5" t="s">
        <v>20</v>
      </c>
      <c r="I1391" s="5" t="s">
        <v>3603</v>
      </c>
      <c r="J1391" s="12" t="str">
        <f>HYPERLINK("https://www.boe.es/gazeta/dias/1807/05/15/pdfs/GMD-1807-42.pdf#page=10","Abrir facsímil")</f>
        <v>Abrir facsímil</v>
      </c>
      <c r="K1391" s="15" t="s">
        <v>22</v>
      </c>
    </row>
    <row r="1392" spans="1:11" ht="42" customHeight="1">
      <c r="A1392" s="4" t="s">
        <v>3604</v>
      </c>
      <c r="B1392" s="5" t="s">
        <v>3605</v>
      </c>
      <c r="C1392" s="5" t="s">
        <v>24</v>
      </c>
      <c r="D1392" s="5" t="s">
        <v>18</v>
      </c>
      <c r="E1392" s="5" t="s">
        <v>414</v>
      </c>
      <c r="F1392" s="9">
        <v>40</v>
      </c>
      <c r="G1392" s="9">
        <v>480</v>
      </c>
      <c r="H1392" s="5" t="s">
        <v>20</v>
      </c>
      <c r="I1392" s="5" t="s">
        <v>3606</v>
      </c>
      <c r="J1392" s="12" t="str">
        <f>HYPERLINK("https://www.boe.es/gazeta/dias/1807/05/08/pdfs/GMD-1807-40.pdf#page=10","Abrir facsímil")</f>
        <v>Abrir facsímil</v>
      </c>
      <c r="K1392" s="15" t="s">
        <v>22</v>
      </c>
    </row>
    <row r="1393" spans="1:11" ht="42" customHeight="1">
      <c r="A1393" s="4" t="s">
        <v>3607</v>
      </c>
      <c r="B1393" s="5" t="s">
        <v>3608</v>
      </c>
      <c r="C1393" s="5" t="s">
        <v>89</v>
      </c>
      <c r="D1393" s="5" t="s">
        <v>90</v>
      </c>
      <c r="E1393" s="5" t="s">
        <v>418</v>
      </c>
      <c r="F1393" s="9">
        <v>4</v>
      </c>
      <c r="G1393" s="9">
        <v>43</v>
      </c>
      <c r="H1393" s="5" t="s">
        <v>20</v>
      </c>
      <c r="I1393" s="5" t="s">
        <v>3609</v>
      </c>
      <c r="J1393" s="12" t="str">
        <f>HYPERLINK("https://www.boe.es/gazeta/dias/1807/01/13/pdfs/GMD-1807-4.pdf#page=11","Abrir facsímil")</f>
        <v>Abrir facsímil</v>
      </c>
      <c r="K1393" s="15" t="s">
        <v>22</v>
      </c>
    </row>
    <row r="1394" spans="1:11" ht="42" customHeight="1">
      <c r="A1394" s="4" t="s">
        <v>3607</v>
      </c>
      <c r="B1394" s="5" t="s">
        <v>3608</v>
      </c>
      <c r="C1394" s="5" t="s">
        <v>34</v>
      </c>
      <c r="D1394" s="5" t="s">
        <v>35</v>
      </c>
      <c r="E1394" s="5" t="s">
        <v>282</v>
      </c>
      <c r="F1394" s="9">
        <v>16</v>
      </c>
      <c r="G1394" s="9">
        <v>187</v>
      </c>
      <c r="H1394" s="5" t="s">
        <v>20</v>
      </c>
      <c r="I1394" s="5" t="s">
        <v>3610</v>
      </c>
      <c r="J1394" s="12" t="str">
        <f>HYPERLINK("https://www.boe.es/gazeta/dias/1807/02/17/pdfs/GMD-1807-16.pdf#page=11","Abrir facsímil")</f>
        <v>Abrir facsímil</v>
      </c>
      <c r="K1394" s="15" t="s">
        <v>22</v>
      </c>
    </row>
    <row r="1395" spans="1:11" ht="42" customHeight="1">
      <c r="A1395" s="4" t="s">
        <v>3611</v>
      </c>
      <c r="B1395" s="5" t="s">
        <v>3612</v>
      </c>
      <c r="C1395" s="5" t="s">
        <v>24</v>
      </c>
      <c r="D1395" s="5" t="s">
        <v>18</v>
      </c>
      <c r="E1395" s="5" t="s">
        <v>101</v>
      </c>
      <c r="F1395" s="9">
        <v>23</v>
      </c>
      <c r="G1395" s="9">
        <v>274</v>
      </c>
      <c r="H1395" s="5" t="s">
        <v>20</v>
      </c>
      <c r="I1395" s="5" t="s">
        <v>3613</v>
      </c>
      <c r="J1395" s="12" t="str">
        <f>HYPERLINK("https://www.boe.es/gazeta/dias/1807/03/10/pdfs/GMD-1807-23.pdf#page=14","Abrir facsímil")</f>
        <v>Abrir facsímil</v>
      </c>
      <c r="K1395" s="15" t="s">
        <v>22</v>
      </c>
    </row>
    <row r="1396" spans="1:11" ht="42" customHeight="1">
      <c r="A1396" s="4" t="s">
        <v>3607</v>
      </c>
      <c r="B1396" s="5" t="s">
        <v>3608</v>
      </c>
      <c r="C1396" s="5" t="s">
        <v>17</v>
      </c>
      <c r="D1396" s="5" t="s">
        <v>18</v>
      </c>
      <c r="E1396" s="5" t="s">
        <v>390</v>
      </c>
      <c r="F1396" s="9">
        <v>24</v>
      </c>
      <c r="G1396" s="9">
        <v>291</v>
      </c>
      <c r="H1396" s="5" t="s">
        <v>20</v>
      </c>
      <c r="I1396" s="5" t="s">
        <v>3614</v>
      </c>
      <c r="J1396" s="12" t="str">
        <f>HYPERLINK("https://www.boe.es/gazeta/dias/1807/03/13/pdfs/GMD-1807-24.pdf#page=15","Abrir facsímil")</f>
        <v>Abrir facsímil</v>
      </c>
      <c r="K1396" s="15" t="s">
        <v>22</v>
      </c>
    </row>
    <row r="1397" spans="1:11" ht="42" customHeight="1">
      <c r="A1397" s="4" t="s">
        <v>3607</v>
      </c>
      <c r="B1397" s="5" t="s">
        <v>3608</v>
      </c>
      <c r="C1397" s="5" t="s">
        <v>24</v>
      </c>
      <c r="D1397" s="5" t="s">
        <v>18</v>
      </c>
      <c r="E1397" s="5" t="s">
        <v>98</v>
      </c>
      <c r="F1397" s="9">
        <v>34</v>
      </c>
      <c r="G1397" s="9">
        <v>407</v>
      </c>
      <c r="H1397" s="5" t="s">
        <v>20</v>
      </c>
      <c r="I1397" s="5" t="s">
        <v>3615</v>
      </c>
      <c r="J1397" s="12" t="str">
        <f>HYPERLINK("https://www.boe.es/gazeta/dias/1807/04/17/pdfs/GMD-1807-34.pdf#page=11","Abrir facsímil")</f>
        <v>Abrir facsímil</v>
      </c>
      <c r="K1397" s="15" t="s">
        <v>22</v>
      </c>
    </row>
    <row r="1398" spans="1:11" ht="42" customHeight="1">
      <c r="A1398" s="4" t="s">
        <v>3607</v>
      </c>
      <c r="B1398" s="5" t="s">
        <v>3608</v>
      </c>
      <c r="C1398" s="5" t="s">
        <v>24</v>
      </c>
      <c r="D1398" s="5" t="s">
        <v>18</v>
      </c>
      <c r="E1398" s="5" t="s">
        <v>65</v>
      </c>
      <c r="F1398" s="9">
        <v>52</v>
      </c>
      <c r="G1398" s="9">
        <v>623</v>
      </c>
      <c r="H1398" s="5" t="s">
        <v>20</v>
      </c>
      <c r="I1398" s="5" t="s">
        <v>3616</v>
      </c>
      <c r="J1398" s="12" t="str">
        <f>HYPERLINK("https://www.boe.es/gazeta/dias/1807/06/19/pdfs/GMD-1807-52.pdf#page=13","Abrir facsímil")</f>
        <v>Abrir facsímil</v>
      </c>
      <c r="K1398" s="15" t="s">
        <v>22</v>
      </c>
    </row>
    <row r="1399" spans="1:11" ht="42" customHeight="1">
      <c r="A1399" s="4" t="s">
        <v>3607</v>
      </c>
      <c r="B1399" s="5" t="s">
        <v>3608</v>
      </c>
      <c r="C1399" s="5" t="s">
        <v>24</v>
      </c>
      <c r="D1399" s="5" t="s">
        <v>18</v>
      </c>
      <c r="E1399" s="5" t="s">
        <v>319</v>
      </c>
      <c r="F1399" s="9">
        <v>54</v>
      </c>
      <c r="G1399" s="9">
        <v>648</v>
      </c>
      <c r="H1399" s="5" t="s">
        <v>20</v>
      </c>
      <c r="I1399" s="5" t="s">
        <v>3617</v>
      </c>
      <c r="J1399" s="12" t="str">
        <f>HYPERLINK("https://www.boe.es/gazeta/dias/1807/06/26/pdfs/GMD-1807-54.pdf#page=10","Abrir facsímil")</f>
        <v>Abrir facsímil</v>
      </c>
      <c r="K1399" s="15" t="s">
        <v>22</v>
      </c>
    </row>
    <row r="1400" spans="1:11" ht="42" customHeight="1">
      <c r="A1400" s="4" t="s">
        <v>3607</v>
      </c>
      <c r="B1400" s="5" t="s">
        <v>3608</v>
      </c>
      <c r="C1400" s="5" t="s">
        <v>24</v>
      </c>
      <c r="D1400" s="5" t="s">
        <v>18</v>
      </c>
      <c r="E1400" s="5" t="s">
        <v>46</v>
      </c>
      <c r="F1400" s="9">
        <v>78</v>
      </c>
      <c r="G1400" s="9">
        <v>907</v>
      </c>
      <c r="H1400" s="5" t="s">
        <v>20</v>
      </c>
      <c r="I1400" s="5" t="s">
        <v>3618</v>
      </c>
      <c r="J1400" s="12" t="str">
        <f>HYPERLINK("https://www.boe.es/gazeta/dias/1807/09/01/pdfs/GMD-1807-78.pdf#page=11","Abrir facsímil")</f>
        <v>Abrir facsímil</v>
      </c>
      <c r="K1400" s="15" t="s">
        <v>22</v>
      </c>
    </row>
    <row r="1401" spans="1:11" ht="42" customHeight="1">
      <c r="A1401" s="4" t="s">
        <v>3607</v>
      </c>
      <c r="B1401" s="5" t="s">
        <v>3608</v>
      </c>
      <c r="C1401" s="5" t="s">
        <v>24</v>
      </c>
      <c r="D1401" s="5" t="s">
        <v>18</v>
      </c>
      <c r="E1401" s="5" t="s">
        <v>135</v>
      </c>
      <c r="F1401" s="9">
        <v>80</v>
      </c>
      <c r="G1401" s="9">
        <v>935</v>
      </c>
      <c r="H1401" s="5" t="s">
        <v>20</v>
      </c>
      <c r="I1401" s="5" t="s">
        <v>3619</v>
      </c>
      <c r="J1401" s="12" t="str">
        <f>HYPERLINK("https://www.boe.es/gazeta/dias/1807/09/08/pdfs/GMD-1807-80.pdf#page=11","Abrir facsímil")</f>
        <v>Abrir facsímil</v>
      </c>
      <c r="K1401" s="15" t="s">
        <v>22</v>
      </c>
    </row>
    <row r="1402" spans="1:11" ht="42" customHeight="1">
      <c r="A1402" s="4" t="s">
        <v>3607</v>
      </c>
      <c r="B1402" s="5" t="s">
        <v>3608</v>
      </c>
      <c r="C1402" s="5" t="s">
        <v>24</v>
      </c>
      <c r="D1402" s="5" t="s">
        <v>18</v>
      </c>
      <c r="E1402" s="5" t="s">
        <v>127</v>
      </c>
      <c r="F1402" s="9">
        <v>81</v>
      </c>
      <c r="G1402" s="9">
        <v>947</v>
      </c>
      <c r="H1402" s="5" t="s">
        <v>20</v>
      </c>
      <c r="I1402" s="5" t="s">
        <v>3620</v>
      </c>
      <c r="J1402" s="12" t="str">
        <f>HYPERLINK("https://www.boe.es/gazeta/dias/1807/09/11/pdfs/GMD-1807-81.pdf#page=11","Abrir facsímil")</f>
        <v>Abrir facsímil</v>
      </c>
      <c r="K1402" s="15" t="s">
        <v>22</v>
      </c>
    </row>
    <row r="1403" spans="1:11" ht="42" customHeight="1">
      <c r="A1403" s="4" t="s">
        <v>3607</v>
      </c>
      <c r="B1403" s="5" t="s">
        <v>3608</v>
      </c>
      <c r="C1403" s="5" t="s">
        <v>24</v>
      </c>
      <c r="D1403" s="5" t="s">
        <v>18</v>
      </c>
      <c r="E1403" s="5" t="s">
        <v>301</v>
      </c>
      <c r="F1403" s="9">
        <v>89</v>
      </c>
      <c r="G1403" s="9">
        <v>1031</v>
      </c>
      <c r="H1403" s="5" t="s">
        <v>20</v>
      </c>
      <c r="I1403" s="5" t="s">
        <v>3621</v>
      </c>
      <c r="J1403" s="12" t="str">
        <f>HYPERLINK("https://www.boe.es/gazeta/dias/1807/10/02/pdfs/GMD-1807-89.pdf#page=11","Abrir facsímil")</f>
        <v>Abrir facsímil</v>
      </c>
      <c r="K1403" s="15" t="s">
        <v>22</v>
      </c>
    </row>
    <row r="1404" spans="1:11" ht="42" customHeight="1">
      <c r="A1404" s="4" t="s">
        <v>3607</v>
      </c>
      <c r="B1404" s="5" t="s">
        <v>3608</v>
      </c>
      <c r="C1404" s="5" t="s">
        <v>24</v>
      </c>
      <c r="D1404" s="5" t="s">
        <v>18</v>
      </c>
      <c r="E1404" s="5" t="s">
        <v>426</v>
      </c>
      <c r="F1404" s="9">
        <v>93</v>
      </c>
      <c r="G1404" s="9">
        <v>1082</v>
      </c>
      <c r="H1404" s="5" t="s">
        <v>20</v>
      </c>
      <c r="I1404" s="5" t="s">
        <v>3622</v>
      </c>
      <c r="J1404" s="12" t="str">
        <f>HYPERLINK("https://www.boe.es/gazeta/dias/1807/10/16/pdfs/GMD-1807-93.pdf#page=10","Abrir facsímil")</f>
        <v>Abrir facsímil</v>
      </c>
      <c r="K1404" s="15" t="s">
        <v>22</v>
      </c>
    </row>
    <row r="1405" spans="1:11" ht="42" customHeight="1">
      <c r="A1405" s="4" t="s">
        <v>3607</v>
      </c>
      <c r="B1405" s="5" t="s">
        <v>3608</v>
      </c>
      <c r="C1405" s="5" t="s">
        <v>89</v>
      </c>
      <c r="D1405" s="5" t="s">
        <v>90</v>
      </c>
      <c r="E1405" s="5" t="s">
        <v>461</v>
      </c>
      <c r="F1405" s="9">
        <v>99</v>
      </c>
      <c r="G1405" s="9">
        <v>1154</v>
      </c>
      <c r="H1405" s="5" t="s">
        <v>20</v>
      </c>
      <c r="I1405" s="5" t="s">
        <v>3623</v>
      </c>
      <c r="J1405" s="12" t="str">
        <f>HYPERLINK("https://www.boe.es/gazeta/dias/1807/11/06/pdfs/GMD-1807-99.pdf#page=10","Abrir facsímil")</f>
        <v>Abrir facsímil</v>
      </c>
      <c r="K1405" s="15" t="s">
        <v>22</v>
      </c>
    </row>
    <row r="1406" spans="1:11" ht="42" customHeight="1">
      <c r="A1406" s="4" t="s">
        <v>3624</v>
      </c>
      <c r="B1406" s="5" t="s">
        <v>3625</v>
      </c>
      <c r="C1406" s="5" t="s">
        <v>17</v>
      </c>
      <c r="D1406" s="5" t="s">
        <v>18</v>
      </c>
      <c r="E1406" s="5" t="s">
        <v>76</v>
      </c>
      <c r="F1406" s="9">
        <v>7</v>
      </c>
      <c r="G1406" s="9">
        <v>74</v>
      </c>
      <c r="H1406" s="5" t="s">
        <v>20</v>
      </c>
      <c r="I1406" s="5" t="s">
        <v>3626</v>
      </c>
      <c r="J1406" s="12" t="str">
        <f>HYPERLINK("https://www.boe.es/gazeta/dias/1807/01/20/pdfs/GMD-1807-7.pdf#page=6","Abrir facsímil")</f>
        <v>Abrir facsímil</v>
      </c>
      <c r="K1406" s="15" t="s">
        <v>22</v>
      </c>
    </row>
    <row r="1407" spans="1:11" ht="42" customHeight="1">
      <c r="A1407" s="4" t="s">
        <v>3627</v>
      </c>
      <c r="B1407" s="5" t="s">
        <v>3628</v>
      </c>
      <c r="C1407" s="5" t="s">
        <v>89</v>
      </c>
      <c r="D1407" s="5" t="s">
        <v>90</v>
      </c>
      <c r="E1407" s="5" t="s">
        <v>418</v>
      </c>
      <c r="F1407" s="9">
        <v>4</v>
      </c>
      <c r="G1407" s="9">
        <v>39</v>
      </c>
      <c r="H1407" s="5" t="s">
        <v>20</v>
      </c>
      <c r="I1407" s="5" t="s">
        <v>3629</v>
      </c>
      <c r="J1407" s="12" t="str">
        <f>HYPERLINK("https://www.boe.es/gazeta/dias/1807/01/13/pdfs/GMD-1807-4.pdf#page=7","Abrir facsímil")</f>
        <v>Abrir facsímil</v>
      </c>
      <c r="K1407" s="15" t="s">
        <v>22</v>
      </c>
    </row>
    <row r="1408" spans="1:11" ht="42" customHeight="1">
      <c r="A1408" s="4" t="s">
        <v>3630</v>
      </c>
      <c r="B1408" s="5" t="s">
        <v>3631</v>
      </c>
      <c r="C1408" s="5" t="s">
        <v>17</v>
      </c>
      <c r="D1408" s="5" t="s">
        <v>18</v>
      </c>
      <c r="E1408" s="5" t="s">
        <v>123</v>
      </c>
      <c r="F1408" s="9">
        <v>70</v>
      </c>
      <c r="G1408" s="9">
        <v>806</v>
      </c>
      <c r="H1408" s="5" t="s">
        <v>20</v>
      </c>
      <c r="I1408" s="5" t="s">
        <v>3632</v>
      </c>
      <c r="J1408" s="12" t="str">
        <f>HYPERLINK("https://www.boe.es/gazeta/dias/1807/08/04/pdfs/GMD-1807-70.pdf#page=10","Abrir facsímil")</f>
        <v>Abrir facsímil</v>
      </c>
      <c r="K1408" s="15" t="s">
        <v>22</v>
      </c>
    </row>
    <row r="1409" spans="1:11" ht="42" customHeight="1">
      <c r="A1409" s="4" t="s">
        <v>3633</v>
      </c>
      <c r="B1409" s="5" t="s">
        <v>3634</v>
      </c>
      <c r="C1409" s="5" t="s">
        <v>24</v>
      </c>
      <c r="D1409" s="5" t="s">
        <v>18</v>
      </c>
      <c r="E1409" s="5" t="s">
        <v>111</v>
      </c>
      <c r="F1409" s="9">
        <v>90</v>
      </c>
      <c r="G1409" s="9">
        <v>1047</v>
      </c>
      <c r="H1409" s="5" t="s">
        <v>20</v>
      </c>
      <c r="I1409" s="5" t="s">
        <v>3635</v>
      </c>
      <c r="J1409" s="12" t="str">
        <f>HYPERLINK("https://www.boe.es/gazeta/dias/1807/10/06/pdfs/GMD-1807-90.pdf#page=15","Abrir facsímil")</f>
        <v>Abrir facsímil</v>
      </c>
      <c r="K1409" s="15" t="s">
        <v>22</v>
      </c>
    </row>
    <row r="1410" spans="1:11" ht="42" customHeight="1">
      <c r="A1410" s="4" t="s">
        <v>3636</v>
      </c>
      <c r="B1410" s="5" t="s">
        <v>3637</v>
      </c>
      <c r="C1410" s="5" t="s">
        <v>34</v>
      </c>
      <c r="D1410" s="5" t="s">
        <v>35</v>
      </c>
      <c r="E1410" s="5" t="s">
        <v>464</v>
      </c>
      <c r="F1410" s="9">
        <v>18</v>
      </c>
      <c r="G1410" s="9">
        <v>213</v>
      </c>
      <c r="H1410" s="5" t="s">
        <v>20</v>
      </c>
      <c r="I1410" s="5" t="s">
        <v>3638</v>
      </c>
      <c r="J1410" s="12" t="str">
        <f>HYPERLINK("https://www.boe.es/gazeta/dias/1807/02/24/pdfs/GMD-1807-18.pdf#page=13","Abrir facsímil")</f>
        <v>Abrir facsímil</v>
      </c>
      <c r="K1410" s="15" t="s">
        <v>22</v>
      </c>
    </row>
    <row r="1411" spans="1:11" ht="42" customHeight="1">
      <c r="A1411" s="4" t="s">
        <v>3639</v>
      </c>
      <c r="B1411" s="5" t="s">
        <v>3640</v>
      </c>
      <c r="C1411" s="5" t="s">
        <v>24</v>
      </c>
      <c r="D1411" s="5" t="s">
        <v>18</v>
      </c>
      <c r="E1411" s="5" t="s">
        <v>98</v>
      </c>
      <c r="F1411" s="9">
        <v>34</v>
      </c>
      <c r="G1411" s="9">
        <v>406</v>
      </c>
      <c r="H1411" s="5" t="s">
        <v>20</v>
      </c>
      <c r="I1411" s="5" t="s">
        <v>3641</v>
      </c>
      <c r="J1411" s="12" t="str">
        <f>HYPERLINK("https://www.boe.es/gazeta/dias/1807/04/17/pdfs/GMD-1807-34.pdf#page=10","Abrir facsímil")</f>
        <v>Abrir facsímil</v>
      </c>
      <c r="K1411" s="15" t="s">
        <v>22</v>
      </c>
    </row>
    <row r="1412" spans="1:11" ht="42" customHeight="1">
      <c r="A1412" s="4" t="s">
        <v>3642</v>
      </c>
      <c r="B1412" s="5" t="s">
        <v>3643</v>
      </c>
      <c r="C1412" s="5" t="s">
        <v>28</v>
      </c>
      <c r="D1412" s="5" t="s">
        <v>29</v>
      </c>
      <c r="E1412" s="5" t="s">
        <v>581</v>
      </c>
      <c r="F1412" s="9">
        <v>71</v>
      </c>
      <c r="G1412" s="9">
        <v>814</v>
      </c>
      <c r="H1412" s="5" t="s">
        <v>20</v>
      </c>
      <c r="I1412" s="5" t="s">
        <v>3644</v>
      </c>
      <c r="J1412" s="12" t="str">
        <f>HYPERLINK("https://www.boe.es/gazeta/dias/1807/08/07/pdfs/GMD-1807-71.pdf#page=6","Abrir facsímil")</f>
        <v>Abrir facsímil</v>
      </c>
      <c r="K1412" s="15" t="s">
        <v>22</v>
      </c>
    </row>
    <row r="1413" spans="1:11" ht="42" customHeight="1">
      <c r="A1413" s="4" t="s">
        <v>3645</v>
      </c>
      <c r="B1413" s="5" t="s">
        <v>3646</v>
      </c>
      <c r="C1413" s="5" t="s">
        <v>17</v>
      </c>
      <c r="D1413" s="5" t="s">
        <v>18</v>
      </c>
      <c r="E1413" s="5" t="s">
        <v>346</v>
      </c>
      <c r="F1413" s="9">
        <v>21</v>
      </c>
      <c r="G1413" s="9">
        <v>244</v>
      </c>
      <c r="H1413" s="5" t="s">
        <v>20</v>
      </c>
      <c r="I1413" s="5" t="s">
        <v>3647</v>
      </c>
      <c r="J1413" s="12" t="str">
        <f>HYPERLINK("https://www.boe.es/gazeta/dias/1807/03/03/pdfs/GMD-1807-21.pdf#page=8","Abrir facsímil")</f>
        <v>Abrir facsímil</v>
      </c>
      <c r="K1413" s="15" t="s">
        <v>22</v>
      </c>
    </row>
    <row r="1414" spans="1:11" ht="42" customHeight="1">
      <c r="A1414" s="4" t="s">
        <v>3648</v>
      </c>
      <c r="B1414" s="5" t="s">
        <v>3648</v>
      </c>
      <c r="C1414" s="5" t="s">
        <v>49</v>
      </c>
      <c r="D1414" s="5" t="s">
        <v>50</v>
      </c>
      <c r="E1414" s="5" t="s">
        <v>471</v>
      </c>
      <c r="F1414" s="9">
        <v>51</v>
      </c>
      <c r="G1414" s="9">
        <v>599</v>
      </c>
      <c r="H1414" s="5" t="s">
        <v>20</v>
      </c>
      <c r="I1414" s="5" t="s">
        <v>3649</v>
      </c>
      <c r="J1414" s="12" t="str">
        <f>HYPERLINK("https://www.boe.es/gazeta/dias/1807/06/16/pdfs/GMD-1807-51.pdf#page=1","Abrir facsímil")</f>
        <v>Abrir facsímil</v>
      </c>
      <c r="K1414" s="15" t="s">
        <v>22</v>
      </c>
    </row>
    <row r="1415" spans="1:11" ht="42" customHeight="1">
      <c r="A1415" s="4" t="s">
        <v>3648</v>
      </c>
      <c r="B1415" s="5" t="s">
        <v>3648</v>
      </c>
      <c r="C1415" s="5" t="s">
        <v>49</v>
      </c>
      <c r="D1415" s="5" t="s">
        <v>50</v>
      </c>
      <c r="E1415" s="5" t="s">
        <v>305</v>
      </c>
      <c r="F1415" s="9">
        <v>53</v>
      </c>
      <c r="G1415" s="9">
        <v>628</v>
      </c>
      <c r="H1415" s="5" t="s">
        <v>20</v>
      </c>
      <c r="I1415" s="5" t="s">
        <v>3650</v>
      </c>
      <c r="J1415" s="12" t="str">
        <f>HYPERLINK("https://www.boe.es/gazeta/dias/1807/06/23/pdfs/GMD-1807-53.pdf#page=2","Abrir facsímil")</f>
        <v>Abrir facsímil</v>
      </c>
      <c r="K1415" s="15" t="s">
        <v>22</v>
      </c>
    </row>
    <row r="1416" spans="1:11" ht="42" customHeight="1">
      <c r="A1416" s="4" t="s">
        <v>3648</v>
      </c>
      <c r="B1416" s="5" t="s">
        <v>3648</v>
      </c>
      <c r="C1416" s="5" t="s">
        <v>49</v>
      </c>
      <c r="D1416" s="5" t="s">
        <v>50</v>
      </c>
      <c r="E1416" s="5" t="s">
        <v>319</v>
      </c>
      <c r="F1416" s="9">
        <v>54</v>
      </c>
      <c r="G1416" s="9">
        <v>640</v>
      </c>
      <c r="H1416" s="5" t="s">
        <v>20</v>
      </c>
      <c r="I1416" s="5" t="s">
        <v>3651</v>
      </c>
      <c r="J1416" s="12" t="str">
        <f>HYPERLINK("https://www.boe.es/gazeta/dias/1807/06/26/pdfs/GMD-1807-54.pdf#page=2","Abrir facsímil")</f>
        <v>Abrir facsímil</v>
      </c>
      <c r="K1416" s="15" t="s">
        <v>22</v>
      </c>
    </row>
    <row r="1417" spans="1:11" ht="42" customHeight="1">
      <c r="A1417" s="4" t="s">
        <v>3652</v>
      </c>
      <c r="B1417" s="5" t="s">
        <v>3652</v>
      </c>
      <c r="C1417" s="5" t="s">
        <v>49</v>
      </c>
      <c r="D1417" s="5" t="s">
        <v>50</v>
      </c>
      <c r="E1417" s="5" t="s">
        <v>567</v>
      </c>
      <c r="F1417" s="9">
        <v>55</v>
      </c>
      <c r="G1417" s="9">
        <v>652</v>
      </c>
      <c r="H1417" s="5" t="s">
        <v>20</v>
      </c>
      <c r="I1417" s="5" t="s">
        <v>3653</v>
      </c>
      <c r="J1417" s="12" t="str">
        <f>HYPERLINK("https://www.boe.es/gazeta/dias/1807/06/30/pdfs/GMD-1807-55.pdf#page=2","Abrir facsímil")</f>
        <v>Abrir facsímil</v>
      </c>
      <c r="K1417" s="15" t="s">
        <v>22</v>
      </c>
    </row>
    <row r="1418" spans="1:11" ht="42" customHeight="1">
      <c r="A1418" s="4" t="s">
        <v>3654</v>
      </c>
      <c r="B1418" s="5" t="s">
        <v>3654</v>
      </c>
      <c r="C1418" s="5" t="s">
        <v>34</v>
      </c>
      <c r="D1418" s="5" t="s">
        <v>35</v>
      </c>
      <c r="E1418" s="5" t="s">
        <v>309</v>
      </c>
      <c r="F1418" s="9">
        <v>107</v>
      </c>
      <c r="G1418" s="9">
        <v>1248</v>
      </c>
      <c r="H1418" s="5" t="s">
        <v>20</v>
      </c>
      <c r="I1418" s="5" t="s">
        <v>3655</v>
      </c>
      <c r="J1418" s="12" t="str">
        <f>HYPERLINK("https://www.boe.es/gazeta/dias/1807/12/01/pdfs/GMD-1807-107.pdf#page=8","Abrir facsímil")</f>
        <v>Abrir facsímil</v>
      </c>
      <c r="K1418" s="15" t="s">
        <v>22</v>
      </c>
    </row>
    <row r="1419" spans="1:11" ht="42" customHeight="1">
      <c r="A1419" s="4" t="s">
        <v>3656</v>
      </c>
      <c r="B1419" s="5" t="s">
        <v>3656</v>
      </c>
      <c r="C1419" s="5" t="s">
        <v>34</v>
      </c>
      <c r="D1419" s="5" t="s">
        <v>35</v>
      </c>
      <c r="E1419" s="5" t="s">
        <v>83</v>
      </c>
      <c r="F1419" s="9">
        <v>50</v>
      </c>
      <c r="G1419" s="9">
        <v>595</v>
      </c>
      <c r="H1419" s="5" t="s">
        <v>20</v>
      </c>
      <c r="I1419" s="5" t="s">
        <v>3657</v>
      </c>
      <c r="J1419" s="12" t="str">
        <f>HYPERLINK("https://www.boe.es/gazeta/dias/1807/06/12/pdfs/GMD-1807-50.pdf#page=9","Abrir facsímil")</f>
        <v>Abrir facsímil</v>
      </c>
      <c r="K1419" s="15" t="s">
        <v>22</v>
      </c>
    </row>
    <row r="1420" spans="1:11" ht="42" customHeight="1">
      <c r="A1420" s="4" t="s">
        <v>3658</v>
      </c>
      <c r="B1420" s="5" t="s">
        <v>3658</v>
      </c>
      <c r="C1420" s="5" t="s">
        <v>34</v>
      </c>
      <c r="D1420" s="5" t="s">
        <v>35</v>
      </c>
      <c r="E1420" s="5" t="s">
        <v>561</v>
      </c>
      <c r="F1420" s="9">
        <v>44</v>
      </c>
      <c r="G1420" s="9">
        <v>524</v>
      </c>
      <c r="H1420" s="5" t="s">
        <v>20</v>
      </c>
      <c r="I1420" s="5" t="s">
        <v>3659</v>
      </c>
      <c r="J1420" s="12" t="str">
        <f>HYPERLINK("https://www.boe.es/gazeta/dias/1807/05/22/pdfs/GMD-1807-44.pdf#page=6","Abrir facsímil")</f>
        <v>Abrir facsímil</v>
      </c>
      <c r="K1420" s="15" t="s">
        <v>22</v>
      </c>
    </row>
    <row r="1421" spans="1:11" ht="42" customHeight="1">
      <c r="A1421" s="4" t="s">
        <v>3660</v>
      </c>
      <c r="B1421" s="5" t="s">
        <v>3661</v>
      </c>
      <c r="C1421" s="5" t="s">
        <v>34</v>
      </c>
      <c r="D1421" s="5" t="s">
        <v>35</v>
      </c>
      <c r="E1421" s="5" t="s">
        <v>156</v>
      </c>
      <c r="F1421" s="9">
        <v>74</v>
      </c>
      <c r="G1421" s="9">
        <v>856</v>
      </c>
      <c r="H1421" s="5" t="s">
        <v>20</v>
      </c>
      <c r="I1421" s="5" t="s">
        <v>3662</v>
      </c>
      <c r="J1421" s="12" t="str">
        <f>HYPERLINK("https://www.boe.es/gazeta/dias/1807/08/18/pdfs/GMD-1807-74.pdf#page=8","Abrir facsímil")</f>
        <v>Abrir facsímil</v>
      </c>
      <c r="K1421" s="15" t="s">
        <v>22</v>
      </c>
    </row>
    <row r="1422" spans="1:11" ht="42" customHeight="1">
      <c r="A1422" s="4" t="s">
        <v>3663</v>
      </c>
      <c r="B1422" s="5" t="s">
        <v>3664</v>
      </c>
      <c r="C1422" s="5" t="s">
        <v>34</v>
      </c>
      <c r="D1422" s="5" t="s">
        <v>35</v>
      </c>
      <c r="E1422" s="5" t="s">
        <v>282</v>
      </c>
      <c r="F1422" s="9">
        <v>16</v>
      </c>
      <c r="G1422" s="9">
        <v>185</v>
      </c>
      <c r="H1422" s="5" t="s">
        <v>20</v>
      </c>
      <c r="I1422" s="5" t="s">
        <v>3665</v>
      </c>
      <c r="J1422" s="12" t="str">
        <f>HYPERLINK("https://www.boe.es/gazeta/dias/1807/02/17/pdfs/GMD-1807-16.pdf#page=9","Abrir facsímil")</f>
        <v>Abrir facsímil</v>
      </c>
      <c r="K1422" s="15" t="s">
        <v>22</v>
      </c>
    </row>
    <row r="1423" spans="1:11" ht="42" customHeight="1">
      <c r="A1423" s="4" t="s">
        <v>3666</v>
      </c>
      <c r="B1423" s="5" t="s">
        <v>3667</v>
      </c>
      <c r="C1423" s="5" t="s">
        <v>28</v>
      </c>
      <c r="D1423" s="5" t="s">
        <v>29</v>
      </c>
      <c r="E1423" s="5" t="s">
        <v>654</v>
      </c>
      <c r="F1423" s="9">
        <v>94</v>
      </c>
      <c r="G1423" s="9">
        <v>1096</v>
      </c>
      <c r="H1423" s="5" t="s">
        <v>20</v>
      </c>
      <c r="I1423" s="5" t="s">
        <v>3668</v>
      </c>
      <c r="J1423" s="12" t="str">
        <f>HYPERLINK("https://www.boe.es/gazeta/dias/1807/10/20/pdfs/GMD-1807-94.pdf#page=12","Abrir facsímil")</f>
        <v>Abrir facsímil</v>
      </c>
      <c r="K1423" s="15" t="s">
        <v>22</v>
      </c>
    </row>
    <row r="1424" spans="1:11" ht="42" customHeight="1">
      <c r="A1424" s="4" t="s">
        <v>3669</v>
      </c>
      <c r="B1424" s="5" t="s">
        <v>3670</v>
      </c>
      <c r="C1424" s="5" t="s">
        <v>28</v>
      </c>
      <c r="D1424" s="5" t="s">
        <v>29</v>
      </c>
      <c r="E1424" s="5" t="s">
        <v>390</v>
      </c>
      <c r="F1424" s="9">
        <v>24</v>
      </c>
      <c r="G1424" s="9">
        <v>285</v>
      </c>
      <c r="H1424" s="5" t="s">
        <v>20</v>
      </c>
      <c r="I1424" s="5" t="s">
        <v>3671</v>
      </c>
      <c r="J1424" s="12" t="str">
        <f>HYPERLINK("https://www.boe.es/gazeta/dias/1807/03/13/pdfs/GMD-1807-24.pdf#page=9","Abrir facsímil")</f>
        <v>Abrir facsímil</v>
      </c>
      <c r="K1424" s="15" t="s">
        <v>22</v>
      </c>
    </row>
    <row r="1425" spans="1:11" ht="42" customHeight="1">
      <c r="A1425" s="4" t="s">
        <v>3672</v>
      </c>
      <c r="B1425" s="5" t="s">
        <v>3673</v>
      </c>
      <c r="C1425" s="5" t="s">
        <v>17</v>
      </c>
      <c r="D1425" s="5" t="s">
        <v>18</v>
      </c>
      <c r="E1425" s="5" t="s">
        <v>81</v>
      </c>
      <c r="F1425" s="9">
        <v>49</v>
      </c>
      <c r="G1425" s="9">
        <v>585</v>
      </c>
      <c r="H1425" s="5" t="s">
        <v>20</v>
      </c>
      <c r="I1425" s="5" t="s">
        <v>3674</v>
      </c>
      <c r="J1425" s="12" t="str">
        <f>HYPERLINK("https://www.boe.es/gazeta/dias/1807/06/09/pdfs/GMD-1807-49.pdf#page=11","Abrir facsímil")</f>
        <v>Abrir facsímil</v>
      </c>
      <c r="K1425" s="15" t="s">
        <v>22</v>
      </c>
    </row>
    <row r="1426" spans="1:11" ht="42" customHeight="1">
      <c r="A1426" s="4" t="s">
        <v>3675</v>
      </c>
      <c r="B1426" s="5" t="s">
        <v>3676</v>
      </c>
      <c r="C1426" s="5" t="s">
        <v>28</v>
      </c>
      <c r="D1426" s="5" t="s">
        <v>29</v>
      </c>
      <c r="E1426" s="5" t="s">
        <v>390</v>
      </c>
      <c r="F1426" s="9">
        <v>24</v>
      </c>
      <c r="G1426" s="9">
        <v>287</v>
      </c>
      <c r="H1426" s="5" t="s">
        <v>20</v>
      </c>
      <c r="I1426" s="5" t="s">
        <v>3677</v>
      </c>
      <c r="J1426" s="12" t="str">
        <f>HYPERLINK("https://www.boe.es/gazeta/dias/1807/03/13/pdfs/GMD-1807-24.pdf#page=11","Abrir facsímil")</f>
        <v>Abrir facsímil</v>
      </c>
      <c r="K1426" s="15" t="s">
        <v>22</v>
      </c>
    </row>
    <row r="1427" spans="1:11" ht="42" customHeight="1">
      <c r="A1427" s="4" t="s">
        <v>3678</v>
      </c>
      <c r="B1427" s="5" t="s">
        <v>3678</v>
      </c>
      <c r="C1427" s="5" t="s">
        <v>28</v>
      </c>
      <c r="D1427" s="5" t="s">
        <v>29</v>
      </c>
      <c r="E1427" s="5" t="s">
        <v>390</v>
      </c>
      <c r="F1427" s="9">
        <v>24</v>
      </c>
      <c r="G1427" s="9">
        <v>285</v>
      </c>
      <c r="H1427" s="5" t="s">
        <v>20</v>
      </c>
      <c r="I1427" s="5" t="s">
        <v>3679</v>
      </c>
      <c r="J1427" s="12" t="str">
        <f>HYPERLINK("https://www.boe.es/gazeta/dias/1807/03/13/pdfs/GMD-1807-24.pdf#page=9","Abrir facsímil")</f>
        <v>Abrir facsímil</v>
      </c>
      <c r="K1427" s="15" t="s">
        <v>22</v>
      </c>
    </row>
    <row r="1428" spans="1:11" ht="42" customHeight="1">
      <c r="A1428" s="4" t="s">
        <v>3680</v>
      </c>
      <c r="B1428" s="5" t="s">
        <v>3681</v>
      </c>
      <c r="C1428" s="5" t="s">
        <v>28</v>
      </c>
      <c r="D1428" s="5" t="s">
        <v>29</v>
      </c>
      <c r="E1428" s="5" t="s">
        <v>127</v>
      </c>
      <c r="F1428" s="9">
        <v>81</v>
      </c>
      <c r="G1428" s="9">
        <v>945</v>
      </c>
      <c r="H1428" s="5" t="s">
        <v>20</v>
      </c>
      <c r="I1428" s="5" t="s">
        <v>3682</v>
      </c>
      <c r="J1428" s="12" t="str">
        <f>HYPERLINK("https://www.boe.es/gazeta/dias/1807/09/11/pdfs/GMD-1807-81.pdf#page=9","Abrir facsímil")</f>
        <v>Abrir facsímil</v>
      </c>
      <c r="K1428" s="15" t="s">
        <v>22</v>
      </c>
    </row>
    <row r="1429" spans="1:11" ht="42" customHeight="1">
      <c r="A1429" s="4" t="s">
        <v>3683</v>
      </c>
      <c r="B1429" s="5" t="s">
        <v>3683</v>
      </c>
      <c r="C1429" s="5" t="s">
        <v>49</v>
      </c>
      <c r="D1429" s="5" t="s">
        <v>50</v>
      </c>
      <c r="E1429" s="5" t="s">
        <v>25</v>
      </c>
      <c r="F1429" s="9">
        <v>45</v>
      </c>
      <c r="G1429" s="9">
        <v>532</v>
      </c>
      <c r="H1429" s="5" t="s">
        <v>20</v>
      </c>
      <c r="I1429" s="5" t="s">
        <v>3684</v>
      </c>
      <c r="J1429" s="12" t="str">
        <f>HYPERLINK("https://www.boe.es/gazeta/dias/1807/05/26/pdfs/GMD-1807-45.pdf#page=2","Abrir facsímil")</f>
        <v>Abrir facsímil</v>
      </c>
      <c r="K1429" s="15" t="s">
        <v>22</v>
      </c>
    </row>
    <row r="1430" spans="1:11" ht="42" customHeight="1">
      <c r="A1430" s="4" t="s">
        <v>3685</v>
      </c>
      <c r="B1430" s="5" t="s">
        <v>3686</v>
      </c>
      <c r="C1430" s="5" t="s">
        <v>34</v>
      </c>
      <c r="D1430" s="5" t="s">
        <v>35</v>
      </c>
      <c r="E1430" s="5" t="s">
        <v>3230</v>
      </c>
      <c r="F1430" s="9">
        <v>27</v>
      </c>
      <c r="G1430" s="9">
        <v>324</v>
      </c>
      <c r="H1430" s="5" t="s">
        <v>20</v>
      </c>
      <c r="I1430" s="5" t="s">
        <v>3687</v>
      </c>
      <c r="J1430" s="12" t="str">
        <f>HYPERLINK("https://www.boe.es/gazeta/dias/1807/03/24/pdfs/GMD-1807-27.pdf#page=8","Abrir facsímil")</f>
        <v>Abrir facsímil</v>
      </c>
      <c r="K1430" s="15" t="s">
        <v>22</v>
      </c>
    </row>
    <row r="1431" spans="1:11" ht="42" customHeight="1">
      <c r="A1431" s="4" t="s">
        <v>3688</v>
      </c>
      <c r="B1431" s="5" t="s">
        <v>3689</v>
      </c>
      <c r="C1431" s="5" t="s">
        <v>49</v>
      </c>
      <c r="D1431" s="5" t="s">
        <v>50</v>
      </c>
      <c r="E1431" s="5" t="s">
        <v>572</v>
      </c>
      <c r="F1431" s="9">
        <v>14</v>
      </c>
      <c r="G1431" s="9">
        <v>159</v>
      </c>
      <c r="H1431" s="5" t="s">
        <v>20</v>
      </c>
      <c r="I1431" s="5" t="s">
        <v>3690</v>
      </c>
      <c r="J1431" s="12" t="str">
        <f>HYPERLINK("https://www.boe.es/gazeta/dias/1807/02/10/pdfs/GMD-1807-14.pdf#page=7","Abrir facsímil")</f>
        <v>Abrir facsímil</v>
      </c>
      <c r="K1431" s="15" t="s">
        <v>22</v>
      </c>
    </row>
    <row r="1432" spans="1:11" ht="42" customHeight="1">
      <c r="A1432" s="4" t="s">
        <v>3691</v>
      </c>
      <c r="B1432" s="5" t="s">
        <v>3692</v>
      </c>
      <c r="C1432" s="5" t="s">
        <v>24</v>
      </c>
      <c r="D1432" s="5" t="s">
        <v>18</v>
      </c>
      <c r="E1432" s="5" t="s">
        <v>127</v>
      </c>
      <c r="F1432" s="9">
        <v>81</v>
      </c>
      <c r="G1432" s="9">
        <v>947</v>
      </c>
      <c r="H1432" s="5" t="s">
        <v>20</v>
      </c>
      <c r="I1432" s="5" t="s">
        <v>3693</v>
      </c>
      <c r="J1432" s="12" t="str">
        <f>HYPERLINK("https://www.boe.es/gazeta/dias/1807/09/11/pdfs/GMD-1807-81.pdf#page=11","Abrir facsímil")</f>
        <v>Abrir facsímil</v>
      </c>
      <c r="K1432" s="15" t="s">
        <v>22</v>
      </c>
    </row>
    <row r="1433" spans="1:11" ht="42" customHeight="1">
      <c r="A1433" s="4" t="s">
        <v>3694</v>
      </c>
      <c r="B1433" s="5" t="s">
        <v>3695</v>
      </c>
      <c r="C1433" s="5" t="s">
        <v>28</v>
      </c>
      <c r="D1433" s="5" t="s">
        <v>29</v>
      </c>
      <c r="E1433" s="5" t="s">
        <v>1076</v>
      </c>
      <c r="F1433" s="9">
        <v>96</v>
      </c>
      <c r="G1433" s="9">
        <v>1118</v>
      </c>
      <c r="H1433" s="5" t="s">
        <v>20</v>
      </c>
      <c r="I1433" s="5" t="s">
        <v>3696</v>
      </c>
      <c r="J1433" s="12" t="str">
        <f>HYPERLINK("https://www.boe.es/gazeta/dias/1807/10/27/pdfs/GMD-1807-96.pdf#page=10","Abrir facsímil")</f>
        <v>Abrir facsímil</v>
      </c>
      <c r="K1433" s="15" t="s">
        <v>22</v>
      </c>
    </row>
    <row r="1434" spans="1:11" ht="42" customHeight="1">
      <c r="A1434" s="4" t="s">
        <v>3697</v>
      </c>
      <c r="B1434" s="5" t="s">
        <v>3698</v>
      </c>
      <c r="C1434" s="5" t="s">
        <v>28</v>
      </c>
      <c r="D1434" s="5" t="s">
        <v>29</v>
      </c>
      <c r="E1434" s="5" t="s">
        <v>346</v>
      </c>
      <c r="F1434" s="9">
        <v>21</v>
      </c>
      <c r="G1434" s="9">
        <v>245</v>
      </c>
      <c r="H1434" s="5" t="s">
        <v>20</v>
      </c>
      <c r="I1434" s="5" t="s">
        <v>3699</v>
      </c>
      <c r="J1434" s="12" t="str">
        <f>HYPERLINK("https://www.boe.es/gazeta/dias/1807/03/03/pdfs/GMD-1807-21.pdf#page=9","Abrir facsímil")</f>
        <v>Abrir facsímil</v>
      </c>
      <c r="K1434" s="15" t="s">
        <v>22</v>
      </c>
    </row>
    <row r="1435" spans="1:11" ht="42" customHeight="1">
      <c r="A1435" s="4" t="s">
        <v>3700</v>
      </c>
      <c r="B1435" s="5" t="s">
        <v>3701</v>
      </c>
      <c r="C1435" s="5" t="s">
        <v>49</v>
      </c>
      <c r="D1435" s="5" t="s">
        <v>50</v>
      </c>
      <c r="E1435" s="5" t="s">
        <v>1934</v>
      </c>
      <c r="F1435" s="9">
        <v>2</v>
      </c>
      <c r="G1435" s="9">
        <v>14</v>
      </c>
      <c r="H1435" s="5" t="s">
        <v>20</v>
      </c>
      <c r="I1435" s="5" t="s">
        <v>3702</v>
      </c>
      <c r="J1435" s="12" t="str">
        <f>HYPERLINK("https://www.boe.es/gazeta/dias/1807/01/06/pdfs/GMD-1807-2.pdf#page=2","Abrir facsímil")</f>
        <v>Abrir facsímil</v>
      </c>
      <c r="K1435" s="15" t="s">
        <v>22</v>
      </c>
    </row>
    <row r="1436" spans="1:11" ht="42" customHeight="1">
      <c r="A1436" s="4" t="s">
        <v>3703</v>
      </c>
      <c r="B1436" s="5" t="s">
        <v>3704</v>
      </c>
      <c r="C1436" s="5" t="s">
        <v>49</v>
      </c>
      <c r="D1436" s="5" t="s">
        <v>50</v>
      </c>
      <c r="E1436" s="5" t="s">
        <v>270</v>
      </c>
      <c r="F1436" s="9">
        <v>8</v>
      </c>
      <c r="G1436" s="9">
        <v>89</v>
      </c>
      <c r="H1436" s="5" t="s">
        <v>20</v>
      </c>
      <c r="I1436" s="5" t="s">
        <v>3705</v>
      </c>
      <c r="J1436" s="12" t="str">
        <f>HYPERLINK("https://www.boe.es/gazeta/dias/1807/01/23/pdfs/GMD-1807-8.pdf#page=5","Abrir facsímil")</f>
        <v>Abrir facsímil</v>
      </c>
      <c r="K1436" s="15" t="s">
        <v>22</v>
      </c>
    </row>
    <row r="1437" spans="1:11" ht="42" customHeight="1">
      <c r="A1437" s="4" t="s">
        <v>3706</v>
      </c>
      <c r="B1437" s="5" t="s">
        <v>3707</v>
      </c>
      <c r="C1437" s="5" t="s">
        <v>28</v>
      </c>
      <c r="D1437" s="5" t="s">
        <v>29</v>
      </c>
      <c r="E1437" s="5" t="s">
        <v>221</v>
      </c>
      <c r="F1437" s="9">
        <v>73</v>
      </c>
      <c r="G1437" s="9">
        <v>845</v>
      </c>
      <c r="H1437" s="5" t="s">
        <v>20</v>
      </c>
      <c r="I1437" s="5" t="s">
        <v>3708</v>
      </c>
      <c r="J1437" s="12" t="str">
        <f>HYPERLINK("https://www.boe.es/gazeta/dias/1807/08/14/pdfs/GMD-1807-73.pdf#page=9","Abrir facsímil")</f>
        <v>Abrir facsímil</v>
      </c>
      <c r="K1437" s="15" t="s">
        <v>22</v>
      </c>
    </row>
    <row r="1438" spans="1:11" ht="42" customHeight="1">
      <c r="A1438" s="4" t="s">
        <v>3709</v>
      </c>
      <c r="B1438" s="5" t="s">
        <v>3709</v>
      </c>
      <c r="C1438" s="5" t="s">
        <v>34</v>
      </c>
      <c r="D1438" s="5" t="s">
        <v>35</v>
      </c>
      <c r="E1438" s="5" t="s">
        <v>572</v>
      </c>
      <c r="F1438" s="9">
        <v>14</v>
      </c>
      <c r="G1438" s="9">
        <v>163</v>
      </c>
      <c r="H1438" s="5" t="s">
        <v>20</v>
      </c>
      <c r="I1438" s="5" t="s">
        <v>3710</v>
      </c>
      <c r="J1438" s="12" t="str">
        <f>HYPERLINK("https://www.boe.es/gazeta/dias/1807/02/10/pdfs/GMD-1807-14.pdf#page=11","Abrir facsímil")</f>
        <v>Abrir facsímil</v>
      </c>
      <c r="K1438" s="15" t="s">
        <v>22</v>
      </c>
    </row>
    <row r="1439" spans="1:11" ht="42" customHeight="1">
      <c r="A1439" s="4" t="s">
        <v>3711</v>
      </c>
      <c r="B1439" s="5" t="s">
        <v>3712</v>
      </c>
      <c r="C1439" s="5" t="s">
        <v>34</v>
      </c>
      <c r="D1439" s="5" t="s">
        <v>35</v>
      </c>
      <c r="E1439" s="5" t="s">
        <v>208</v>
      </c>
      <c r="F1439" s="9">
        <v>42</v>
      </c>
      <c r="G1439" s="9">
        <v>501</v>
      </c>
      <c r="H1439" s="5" t="s">
        <v>20</v>
      </c>
      <c r="I1439" s="5" t="s">
        <v>3713</v>
      </c>
      <c r="J1439" s="12" t="str">
        <f>HYPERLINK("https://www.boe.es/gazeta/dias/1807/05/15/pdfs/GMD-1807-42.pdf#page=7","Abrir facsímil")</f>
        <v>Abrir facsímil</v>
      </c>
      <c r="K1439" s="15" t="s">
        <v>22</v>
      </c>
    </row>
    <row r="1440" spans="1:11" ht="42" customHeight="1">
      <c r="A1440" s="4" t="s">
        <v>3714</v>
      </c>
      <c r="B1440" s="5" t="s">
        <v>3715</v>
      </c>
      <c r="C1440" s="5" t="s">
        <v>34</v>
      </c>
      <c r="D1440" s="5" t="s">
        <v>35</v>
      </c>
      <c r="E1440" s="5" t="s">
        <v>422</v>
      </c>
      <c r="F1440" s="9">
        <v>33</v>
      </c>
      <c r="G1440" s="9">
        <v>392</v>
      </c>
      <c r="H1440" s="5" t="s">
        <v>20</v>
      </c>
      <c r="I1440" s="5" t="s">
        <v>3716</v>
      </c>
      <c r="J1440" s="12" t="str">
        <f>HYPERLINK("https://www.boe.es/gazeta/dias/1807/04/14/pdfs/GMD-1807-33.pdf#page=8","Abrir facsímil")</f>
        <v>Abrir facsímil</v>
      </c>
      <c r="K1440" s="15" t="s">
        <v>22</v>
      </c>
    </row>
    <row r="1441" spans="1:11" ht="42" customHeight="1">
      <c r="A1441" s="4" t="s">
        <v>3717</v>
      </c>
      <c r="B1441" s="5" t="s">
        <v>3717</v>
      </c>
      <c r="C1441" s="5" t="s">
        <v>89</v>
      </c>
      <c r="D1441" s="5" t="s">
        <v>90</v>
      </c>
      <c r="E1441" s="5" t="s">
        <v>1934</v>
      </c>
      <c r="F1441" s="9">
        <v>2</v>
      </c>
      <c r="G1441" s="9">
        <v>15</v>
      </c>
      <c r="H1441" s="5" t="s">
        <v>20</v>
      </c>
      <c r="I1441" s="5" t="s">
        <v>3718</v>
      </c>
      <c r="J1441" s="12" t="str">
        <f>HYPERLINK("https://www.boe.es/gazeta/dias/1807/01/06/pdfs/GMD-1807-2.pdf#page=3","Abrir facsímil")</f>
        <v>Abrir facsímil</v>
      </c>
      <c r="K1441" s="15" t="s">
        <v>22</v>
      </c>
    </row>
    <row r="1442" spans="1:11" ht="42" customHeight="1">
      <c r="A1442" s="4" t="s">
        <v>3719</v>
      </c>
      <c r="B1442" s="5" t="s">
        <v>3720</v>
      </c>
      <c r="C1442" s="5" t="s">
        <v>24</v>
      </c>
      <c r="D1442" s="5" t="s">
        <v>18</v>
      </c>
      <c r="E1442" s="5" t="s">
        <v>319</v>
      </c>
      <c r="F1442" s="9">
        <v>54</v>
      </c>
      <c r="G1442" s="9">
        <v>648</v>
      </c>
      <c r="H1442" s="5" t="s">
        <v>20</v>
      </c>
      <c r="I1442" s="5" t="s">
        <v>3721</v>
      </c>
      <c r="J1442" s="12" t="str">
        <f>HYPERLINK("https://www.boe.es/gazeta/dias/1807/06/26/pdfs/GMD-1807-54.pdf#page=10","Abrir facsímil")</f>
        <v>Abrir facsímil</v>
      </c>
      <c r="K1442" s="15" t="s">
        <v>22</v>
      </c>
    </row>
    <row r="1443" spans="1:11" ht="42" customHeight="1">
      <c r="A1443" s="4" t="s">
        <v>3722</v>
      </c>
      <c r="B1443" s="5" t="s">
        <v>3722</v>
      </c>
      <c r="C1443" s="5" t="s">
        <v>34</v>
      </c>
      <c r="D1443" s="5" t="s">
        <v>35</v>
      </c>
      <c r="E1443" s="5" t="s">
        <v>309</v>
      </c>
      <c r="F1443" s="9">
        <v>107</v>
      </c>
      <c r="G1443" s="9">
        <v>1248</v>
      </c>
      <c r="H1443" s="5" t="s">
        <v>20</v>
      </c>
      <c r="I1443" s="5" t="s">
        <v>3723</v>
      </c>
      <c r="J1443" s="12" t="str">
        <f>HYPERLINK("https://www.boe.es/gazeta/dias/1807/12/01/pdfs/GMD-1807-107.pdf#page=8","Abrir facsímil")</f>
        <v>Abrir facsímil</v>
      </c>
      <c r="K1443" s="15" t="s">
        <v>22</v>
      </c>
    </row>
    <row r="1444" spans="1:11" ht="42" customHeight="1">
      <c r="A1444" s="4" t="s">
        <v>3724</v>
      </c>
      <c r="B1444" s="5" t="s">
        <v>3724</v>
      </c>
      <c r="C1444" s="5" t="s">
        <v>34</v>
      </c>
      <c r="D1444" s="5" t="s">
        <v>35</v>
      </c>
      <c r="E1444" s="5" t="s">
        <v>1177</v>
      </c>
      <c r="F1444" s="9">
        <v>101</v>
      </c>
      <c r="G1444" s="9">
        <v>1177</v>
      </c>
      <c r="H1444" s="5" t="s">
        <v>20</v>
      </c>
      <c r="I1444" s="5" t="s">
        <v>3725</v>
      </c>
      <c r="J1444" s="12" t="str">
        <f>HYPERLINK("https://www.boe.es/gazeta/dias/1807/11/13/pdfs/GMD-1807-101.pdf#page=9","Abrir facsímil")</f>
        <v>Abrir facsímil</v>
      </c>
      <c r="K1444" s="15" t="s">
        <v>22</v>
      </c>
    </row>
    <row r="1445" spans="1:11" ht="42" customHeight="1">
      <c r="A1445" s="4" t="s">
        <v>3726</v>
      </c>
      <c r="B1445" s="5" t="s">
        <v>3727</v>
      </c>
      <c r="C1445" s="5" t="s">
        <v>49</v>
      </c>
      <c r="D1445" s="5" t="s">
        <v>50</v>
      </c>
      <c r="E1445" s="5" t="s">
        <v>270</v>
      </c>
      <c r="F1445" s="9">
        <v>8</v>
      </c>
      <c r="G1445" s="9">
        <v>87</v>
      </c>
      <c r="H1445" s="5" t="s">
        <v>20</v>
      </c>
      <c r="I1445" s="5" t="s">
        <v>3728</v>
      </c>
      <c r="J1445" s="12" t="str">
        <f>HYPERLINK("https://www.boe.es/gazeta/dias/1807/01/23/pdfs/GMD-1807-8.pdf#page=3","Abrir facsímil")</f>
        <v>Abrir facsímil</v>
      </c>
      <c r="K1445" s="15" t="s">
        <v>22</v>
      </c>
    </row>
    <row r="1446" spans="1:11" ht="42" customHeight="1">
      <c r="A1446" s="4" t="s">
        <v>3729</v>
      </c>
      <c r="B1446" s="5" t="s">
        <v>3729</v>
      </c>
      <c r="C1446" s="5" t="s">
        <v>28</v>
      </c>
      <c r="D1446" s="5" t="s">
        <v>29</v>
      </c>
      <c r="E1446" s="5" t="s">
        <v>414</v>
      </c>
      <c r="F1446" s="9">
        <v>40</v>
      </c>
      <c r="G1446" s="9">
        <v>481</v>
      </c>
      <c r="H1446" s="5" t="s">
        <v>20</v>
      </c>
      <c r="I1446" s="5" t="s">
        <v>3730</v>
      </c>
      <c r="J1446" s="12" t="str">
        <f>HYPERLINK("https://www.boe.es/gazeta/dias/1807/05/08/pdfs/GMD-1807-40.pdf#page=11","Abrir facsímil")</f>
        <v>Abrir facsímil</v>
      </c>
      <c r="K1446" s="15" t="s">
        <v>22</v>
      </c>
    </row>
    <row r="1447" spans="1:11" ht="42" customHeight="1">
      <c r="A1447" s="4" t="s">
        <v>3731</v>
      </c>
      <c r="B1447" s="5" t="s">
        <v>3732</v>
      </c>
      <c r="C1447" s="5" t="s">
        <v>34</v>
      </c>
      <c r="D1447" s="5" t="s">
        <v>35</v>
      </c>
      <c r="E1447" s="5" t="s">
        <v>447</v>
      </c>
      <c r="F1447" s="9">
        <v>65</v>
      </c>
      <c r="G1447" s="9">
        <v>757</v>
      </c>
      <c r="H1447" s="5" t="s">
        <v>20</v>
      </c>
      <c r="I1447" s="5" t="s">
        <v>3733</v>
      </c>
      <c r="J1447" s="12" t="str">
        <f>HYPERLINK("https://www.boe.es/gazeta/dias/1807/07/24/pdfs/GMD-1807-65.pdf#page=7","Abrir facsímil")</f>
        <v>Abrir facsímil</v>
      </c>
      <c r="K1447" s="15" t="s">
        <v>22</v>
      </c>
    </row>
    <row r="1448" spans="1:11" ht="42" customHeight="1">
      <c r="A1448" s="4" t="s">
        <v>3734</v>
      </c>
      <c r="B1448" s="5" t="s">
        <v>3734</v>
      </c>
      <c r="C1448" s="5" t="s">
        <v>28</v>
      </c>
      <c r="D1448" s="5" t="s">
        <v>29</v>
      </c>
      <c r="E1448" s="5" t="s">
        <v>414</v>
      </c>
      <c r="F1448" s="9">
        <v>40</v>
      </c>
      <c r="G1448" s="9">
        <v>473</v>
      </c>
      <c r="H1448" s="5" t="s">
        <v>20</v>
      </c>
      <c r="I1448" s="5" t="s">
        <v>3735</v>
      </c>
      <c r="J1448" s="12" t="str">
        <f>HYPERLINK("https://www.boe.es/gazeta/dias/1807/05/08/pdfs/GMD-1807-40.pdf#page=3","Abrir facsímil")</f>
        <v>Abrir facsímil</v>
      </c>
      <c r="K1448" s="15" t="s">
        <v>22</v>
      </c>
    </row>
    <row r="1449" spans="1:11" ht="42" customHeight="1">
      <c r="A1449" s="4" t="s">
        <v>3736</v>
      </c>
      <c r="B1449" s="5" t="s">
        <v>3737</v>
      </c>
      <c r="C1449" s="5" t="s">
        <v>34</v>
      </c>
      <c r="D1449" s="5" t="s">
        <v>35</v>
      </c>
      <c r="E1449" s="5" t="s">
        <v>418</v>
      </c>
      <c r="F1449" s="9">
        <v>4</v>
      </c>
      <c r="G1449" s="9">
        <v>38</v>
      </c>
      <c r="H1449" s="5" t="s">
        <v>20</v>
      </c>
      <c r="I1449" s="5" t="s">
        <v>3738</v>
      </c>
      <c r="J1449" s="12" t="str">
        <f>HYPERLINK("https://www.boe.es/gazeta/dias/1807/01/13/pdfs/GMD-1807-4.pdf#page=6","Abrir facsímil")</f>
        <v>Abrir facsímil</v>
      </c>
      <c r="K1449" s="15" t="s">
        <v>22</v>
      </c>
    </row>
    <row r="1450" spans="1:11" ht="42" customHeight="1">
      <c r="A1450" s="4" t="s">
        <v>3739</v>
      </c>
      <c r="B1450" s="5" t="s">
        <v>3740</v>
      </c>
      <c r="C1450" s="5" t="s">
        <v>89</v>
      </c>
      <c r="D1450" s="5" t="s">
        <v>90</v>
      </c>
      <c r="E1450" s="5" t="s">
        <v>114</v>
      </c>
      <c r="F1450" s="9">
        <v>46</v>
      </c>
      <c r="G1450" s="9">
        <v>553</v>
      </c>
      <c r="H1450" s="5" t="s">
        <v>20</v>
      </c>
      <c r="I1450" s="5" t="s">
        <v>3741</v>
      </c>
      <c r="J1450" s="12" t="str">
        <f>HYPERLINK("https://www.boe.es/gazeta/dias/1807/05/29/pdfs/GMD-1807-46.pdf#page=11","Abrir facsímil")</f>
        <v>Abrir facsímil</v>
      </c>
      <c r="K1450" s="15" t="s">
        <v>22</v>
      </c>
    </row>
    <row r="1451" spans="1:11" ht="42" customHeight="1">
      <c r="A1451" s="4" t="s">
        <v>3742</v>
      </c>
      <c r="B1451" s="5" t="s">
        <v>3742</v>
      </c>
      <c r="C1451" s="5" t="s">
        <v>34</v>
      </c>
      <c r="D1451" s="5" t="s">
        <v>35</v>
      </c>
      <c r="E1451" s="5" t="s">
        <v>406</v>
      </c>
      <c r="F1451" s="9">
        <v>82</v>
      </c>
      <c r="G1451" s="9">
        <v>955</v>
      </c>
      <c r="H1451" s="5" t="s">
        <v>20</v>
      </c>
      <c r="I1451" s="5" t="s">
        <v>3743</v>
      </c>
      <c r="J1451" s="12" t="str">
        <f>HYPERLINK("https://www.boe.es/gazeta/dias/1807/09/15/pdfs/GMD-1807-82.pdf#page=7","Abrir facsímil")</f>
        <v>Abrir facsímil</v>
      </c>
      <c r="K1451" s="15" t="s">
        <v>22</v>
      </c>
    </row>
    <row r="1452" spans="1:11" ht="42" customHeight="1">
      <c r="A1452" s="4" t="s">
        <v>3744</v>
      </c>
      <c r="B1452" s="5" t="s">
        <v>3744</v>
      </c>
      <c r="C1452" s="5" t="s">
        <v>49</v>
      </c>
      <c r="D1452" s="5" t="s">
        <v>50</v>
      </c>
      <c r="E1452" s="5" t="s">
        <v>471</v>
      </c>
      <c r="F1452" s="9">
        <v>51</v>
      </c>
      <c r="G1452" s="9">
        <v>602</v>
      </c>
      <c r="H1452" s="5" t="s">
        <v>20</v>
      </c>
      <c r="I1452" s="5" t="s">
        <v>3745</v>
      </c>
      <c r="J1452" s="12" t="str">
        <f>HYPERLINK("https://www.boe.es/gazeta/dias/1807/06/16/pdfs/GMD-1807-51.pdf#page=4","Abrir facsímil")</f>
        <v>Abrir facsímil</v>
      </c>
      <c r="K1452" s="15" t="s">
        <v>22</v>
      </c>
    </row>
    <row r="1453" spans="1:11" ht="42" customHeight="1">
      <c r="A1453" s="4" t="s">
        <v>3746</v>
      </c>
      <c r="B1453" s="5" t="s">
        <v>3746</v>
      </c>
      <c r="C1453" s="5" t="s">
        <v>49</v>
      </c>
      <c r="D1453" s="5" t="s">
        <v>50</v>
      </c>
      <c r="E1453" s="5" t="s">
        <v>123</v>
      </c>
      <c r="F1453" s="9">
        <v>70</v>
      </c>
      <c r="G1453" s="9">
        <v>799</v>
      </c>
      <c r="H1453" s="5" t="s">
        <v>20</v>
      </c>
      <c r="I1453" s="5" t="s">
        <v>3747</v>
      </c>
      <c r="J1453" s="12" t="str">
        <f>HYPERLINK("https://www.boe.es/gazeta/dias/1807/08/04/pdfs/GMD-1807-70.pdf#page=3","Abrir facsímil")</f>
        <v>Abrir facsímil</v>
      </c>
      <c r="K1453" s="15" t="s">
        <v>22</v>
      </c>
    </row>
    <row r="1454" spans="1:11" ht="42" customHeight="1">
      <c r="A1454" s="4" t="s">
        <v>3746</v>
      </c>
      <c r="B1454" s="5" t="s">
        <v>3746</v>
      </c>
      <c r="C1454" s="5" t="s">
        <v>34</v>
      </c>
      <c r="D1454" s="5" t="s">
        <v>35</v>
      </c>
      <c r="E1454" s="5" t="s">
        <v>221</v>
      </c>
      <c r="F1454" s="9">
        <v>73</v>
      </c>
      <c r="G1454" s="9">
        <v>838</v>
      </c>
      <c r="H1454" s="5" t="s">
        <v>20</v>
      </c>
      <c r="I1454" s="5" t="s">
        <v>3748</v>
      </c>
      <c r="J1454" s="12" t="str">
        <f>HYPERLINK("https://www.boe.es/gazeta/dias/1807/08/14/pdfs/GMD-1807-73.pdf#page=2","Abrir facsímil")</f>
        <v>Abrir facsímil</v>
      </c>
      <c r="K1454" s="15" t="s">
        <v>22</v>
      </c>
    </row>
    <row r="1455" spans="1:11" ht="42" customHeight="1">
      <c r="A1455" s="4" t="s">
        <v>3749</v>
      </c>
      <c r="B1455" s="5" t="s">
        <v>3750</v>
      </c>
      <c r="C1455" s="5" t="s">
        <v>49</v>
      </c>
      <c r="D1455" s="5" t="s">
        <v>50</v>
      </c>
      <c r="E1455" s="5" t="s">
        <v>376</v>
      </c>
      <c r="F1455" s="9">
        <v>19</v>
      </c>
      <c r="G1455" s="9">
        <v>221</v>
      </c>
      <c r="H1455" s="5" t="s">
        <v>20</v>
      </c>
      <c r="I1455" s="5" t="s">
        <v>3751</v>
      </c>
      <c r="J1455" s="12" t="str">
        <f>HYPERLINK("https://www.boe.es/gazeta/dias/1807/02/27/pdfs/GMD-1807-19.pdf#page=5","Abrir facsímil")</f>
        <v>Abrir facsímil</v>
      </c>
      <c r="K1455" s="15" t="s">
        <v>22</v>
      </c>
    </row>
    <row r="1456" spans="1:11" ht="42" customHeight="1">
      <c r="A1456" s="4" t="s">
        <v>3752</v>
      </c>
      <c r="B1456" s="5" t="s">
        <v>3753</v>
      </c>
      <c r="C1456" s="5" t="s">
        <v>34</v>
      </c>
      <c r="D1456" s="5" t="s">
        <v>35</v>
      </c>
      <c r="E1456" s="5" t="s">
        <v>186</v>
      </c>
      <c r="F1456" s="9">
        <v>72</v>
      </c>
      <c r="G1456" s="9">
        <v>828</v>
      </c>
      <c r="H1456" s="5" t="s">
        <v>20</v>
      </c>
      <c r="I1456" s="5" t="s">
        <v>3754</v>
      </c>
      <c r="J1456" s="12" t="str">
        <f>HYPERLINK("https://www.boe.es/gazeta/dias/1807/08/11/pdfs/GMD-1807-72.pdf#page=8","Abrir facsímil")</f>
        <v>Abrir facsímil</v>
      </c>
      <c r="K1456" s="15" t="s">
        <v>22</v>
      </c>
    </row>
    <row r="1457" spans="1:11" ht="42" customHeight="1">
      <c r="A1457" s="4" t="s">
        <v>3755</v>
      </c>
      <c r="B1457" s="5" t="s">
        <v>3756</v>
      </c>
      <c r="C1457" s="5" t="s">
        <v>28</v>
      </c>
      <c r="D1457" s="5" t="s">
        <v>29</v>
      </c>
      <c r="E1457" s="5" t="s">
        <v>441</v>
      </c>
      <c r="F1457" s="9">
        <v>92</v>
      </c>
      <c r="G1457" s="9">
        <v>1068</v>
      </c>
      <c r="H1457" s="5" t="s">
        <v>20</v>
      </c>
      <c r="I1457" s="5" t="s">
        <v>3757</v>
      </c>
      <c r="J1457" s="12" t="str">
        <f>HYPERLINK("https://www.boe.es/gazeta/dias/1807/10/13/pdfs/GMD-1807-92.pdf#page=8","Abrir facsímil")</f>
        <v>Abrir facsímil</v>
      </c>
      <c r="K1457" s="15" t="s">
        <v>22</v>
      </c>
    </row>
    <row r="1458" spans="1:11" ht="42" customHeight="1">
      <c r="A1458" s="4" t="s">
        <v>3758</v>
      </c>
      <c r="B1458" s="5" t="s">
        <v>3759</v>
      </c>
      <c r="C1458" s="5" t="s">
        <v>17</v>
      </c>
      <c r="D1458" s="5" t="s">
        <v>18</v>
      </c>
      <c r="E1458" s="5" t="s">
        <v>81</v>
      </c>
      <c r="F1458" s="9">
        <v>49</v>
      </c>
      <c r="G1458" s="9">
        <v>585</v>
      </c>
      <c r="H1458" s="5" t="s">
        <v>20</v>
      </c>
      <c r="I1458" s="5" t="s">
        <v>3760</v>
      </c>
      <c r="J1458" s="12" t="str">
        <f>HYPERLINK("https://www.boe.es/gazeta/dias/1807/06/09/pdfs/GMD-1807-49.pdf#page=11","Abrir facsímil")</f>
        <v>Abrir facsímil</v>
      </c>
      <c r="K1458" s="15" t="s">
        <v>22</v>
      </c>
    </row>
    <row r="1459" spans="1:11" ht="42" customHeight="1">
      <c r="A1459" s="4" t="s">
        <v>3761</v>
      </c>
      <c r="B1459" s="5" t="s">
        <v>3762</v>
      </c>
      <c r="C1459" s="5" t="s">
        <v>28</v>
      </c>
      <c r="D1459" s="5" t="s">
        <v>29</v>
      </c>
      <c r="E1459" s="5" t="s">
        <v>152</v>
      </c>
      <c r="F1459" s="9">
        <v>61</v>
      </c>
      <c r="G1459" s="9">
        <v>721</v>
      </c>
      <c r="H1459" s="5" t="s">
        <v>20</v>
      </c>
      <c r="I1459" s="5" t="s">
        <v>3763</v>
      </c>
      <c r="J1459" s="12" t="str">
        <f>HYPERLINK("https://www.boe.es/gazeta/dias/1807/07/14/pdfs/GMD-1807-61.pdf#page=7","Abrir facsímil")</f>
        <v>Abrir facsímil</v>
      </c>
      <c r="K1459" s="15" t="s">
        <v>22</v>
      </c>
    </row>
    <row r="1460" spans="1:11" ht="42" customHeight="1">
      <c r="A1460" s="4" t="s">
        <v>3764</v>
      </c>
      <c r="B1460" s="5" t="s">
        <v>3765</v>
      </c>
      <c r="C1460" s="5" t="s">
        <v>34</v>
      </c>
      <c r="D1460" s="5" t="s">
        <v>35</v>
      </c>
      <c r="E1460" s="5" t="s">
        <v>149</v>
      </c>
      <c r="F1460" s="9">
        <v>38</v>
      </c>
      <c r="G1460" s="9">
        <v>450</v>
      </c>
      <c r="H1460" s="5" t="s">
        <v>20</v>
      </c>
      <c r="I1460" s="5" t="s">
        <v>3766</v>
      </c>
      <c r="J1460" s="12" t="str">
        <f>HYPERLINK("https://www.boe.es/gazeta/dias/1807/05/01/pdfs/GMD-1807-38.pdf#page=6","Abrir facsímil")</f>
        <v>Abrir facsímil</v>
      </c>
      <c r="K1460" s="15" t="s">
        <v>22</v>
      </c>
    </row>
    <row r="1461" spans="1:11" ht="42" customHeight="1">
      <c r="A1461" s="4" t="s">
        <v>3767</v>
      </c>
      <c r="B1461" s="5" t="s">
        <v>3768</v>
      </c>
      <c r="C1461" s="5" t="s">
        <v>24</v>
      </c>
      <c r="D1461" s="5" t="s">
        <v>18</v>
      </c>
      <c r="E1461" s="5" t="s">
        <v>104</v>
      </c>
      <c r="F1461" s="9">
        <v>25</v>
      </c>
      <c r="G1461" s="9">
        <v>302</v>
      </c>
      <c r="H1461" s="5" t="s">
        <v>20</v>
      </c>
      <c r="I1461" s="5" t="s">
        <v>3769</v>
      </c>
      <c r="J1461" s="12" t="str">
        <f>HYPERLINK("https://www.boe.es/gazeta/dias/1807/03/17/pdfs/GMD-1807-25.pdf#page=10","Abrir facsímil")</f>
        <v>Abrir facsímil</v>
      </c>
      <c r="K1461" s="15" t="s">
        <v>22</v>
      </c>
    </row>
    <row r="1462" spans="1:11" ht="42" customHeight="1">
      <c r="A1462" s="4" t="s">
        <v>3767</v>
      </c>
      <c r="B1462" s="5" t="s">
        <v>3768</v>
      </c>
      <c r="C1462" s="5" t="s">
        <v>24</v>
      </c>
      <c r="D1462" s="5" t="s">
        <v>18</v>
      </c>
      <c r="E1462" s="5" t="s">
        <v>754</v>
      </c>
      <c r="F1462" s="9">
        <v>103</v>
      </c>
      <c r="G1462" s="9">
        <v>1204</v>
      </c>
      <c r="H1462" s="5" t="s">
        <v>20</v>
      </c>
      <c r="I1462" s="5" t="s">
        <v>3770</v>
      </c>
      <c r="J1462" s="12" t="str">
        <f>HYPERLINK("https://www.boe.es/gazeta/dias/1807/11/20/pdfs/GMD-1807-103.pdf#page=12","Abrir facsímil")</f>
        <v>Abrir facsímil</v>
      </c>
      <c r="K1462" s="15" t="s">
        <v>22</v>
      </c>
    </row>
    <row r="1463" spans="1:11" ht="42" customHeight="1">
      <c r="A1463" s="4" t="s">
        <v>3771</v>
      </c>
      <c r="B1463" s="5" t="s">
        <v>3771</v>
      </c>
      <c r="C1463" s="5" t="s">
        <v>17</v>
      </c>
      <c r="D1463" s="5" t="s">
        <v>18</v>
      </c>
      <c r="E1463" s="5" t="s">
        <v>111</v>
      </c>
      <c r="F1463" s="9">
        <v>90</v>
      </c>
      <c r="G1463" s="9">
        <v>1043</v>
      </c>
      <c r="H1463" s="5" t="s">
        <v>20</v>
      </c>
      <c r="I1463" s="5" t="s">
        <v>3772</v>
      </c>
      <c r="J1463" s="12" t="str">
        <f>HYPERLINK("https://www.boe.es/gazeta/dias/1807/10/06/pdfs/GMD-1807-90.pdf#page=11","Abrir facsímil")</f>
        <v>Abrir facsímil</v>
      </c>
      <c r="K1463" s="15" t="s">
        <v>22</v>
      </c>
    </row>
    <row r="1464" spans="1:11" ht="42" customHeight="1">
      <c r="A1464" s="4" t="s">
        <v>3773</v>
      </c>
      <c r="B1464" s="5" t="s">
        <v>3773</v>
      </c>
      <c r="C1464" s="5" t="s">
        <v>28</v>
      </c>
      <c r="D1464" s="5" t="s">
        <v>29</v>
      </c>
      <c r="E1464" s="5" t="s">
        <v>167</v>
      </c>
      <c r="F1464" s="9">
        <v>77</v>
      </c>
      <c r="G1464" s="9">
        <v>893</v>
      </c>
      <c r="H1464" s="5" t="s">
        <v>20</v>
      </c>
      <c r="I1464" s="5" t="s">
        <v>3774</v>
      </c>
      <c r="J1464" s="12" t="str">
        <f>HYPERLINK("https://www.boe.es/gazeta/dias/1807/08/28/pdfs/GMD-1807-77.pdf#page=9","Abrir facsímil")</f>
        <v>Abrir facsímil</v>
      </c>
      <c r="K1464" s="15" t="s">
        <v>22</v>
      </c>
    </row>
    <row r="1465" spans="1:11" ht="42" customHeight="1">
      <c r="A1465" s="4" t="s">
        <v>3775</v>
      </c>
      <c r="B1465" s="5" t="s">
        <v>3776</v>
      </c>
      <c r="C1465" s="5" t="s">
        <v>28</v>
      </c>
      <c r="D1465" s="5" t="s">
        <v>29</v>
      </c>
      <c r="E1465" s="5" t="s">
        <v>393</v>
      </c>
      <c r="F1465" s="9">
        <v>15</v>
      </c>
      <c r="G1465" s="9">
        <v>172</v>
      </c>
      <c r="H1465" s="5" t="s">
        <v>20</v>
      </c>
      <c r="I1465" s="5" t="s">
        <v>3777</v>
      </c>
      <c r="J1465" s="12" t="str">
        <f>HYPERLINK("https://www.boe.es/gazeta/dias/1807/02/13/pdfs/GMD-1807-15.pdf#page=8","Abrir facsímil")</f>
        <v>Abrir facsímil</v>
      </c>
      <c r="K1465" s="15" t="s">
        <v>22</v>
      </c>
    </row>
    <row r="1466" spans="1:11" ht="42" customHeight="1">
      <c r="A1466" s="4" t="s">
        <v>3778</v>
      </c>
      <c r="B1466" s="5" t="s">
        <v>3779</v>
      </c>
      <c r="C1466" s="5" t="s">
        <v>28</v>
      </c>
      <c r="D1466" s="5" t="s">
        <v>29</v>
      </c>
      <c r="E1466" s="5" t="s">
        <v>464</v>
      </c>
      <c r="F1466" s="9">
        <v>18</v>
      </c>
      <c r="G1466" s="9">
        <v>211</v>
      </c>
      <c r="H1466" s="5" t="s">
        <v>20</v>
      </c>
      <c r="I1466" s="5" t="s">
        <v>3780</v>
      </c>
      <c r="J1466" s="12" t="str">
        <f>HYPERLINK("https://www.boe.es/gazeta/dias/1807/02/24/pdfs/GMD-1807-18.pdf#page=11","Abrir facsímil")</f>
        <v>Abrir facsímil</v>
      </c>
      <c r="K1466" s="15" t="s">
        <v>22</v>
      </c>
    </row>
    <row r="1467" spans="1:11" ht="42" customHeight="1">
      <c r="A1467" s="4" t="s">
        <v>3775</v>
      </c>
      <c r="B1467" s="5" t="s">
        <v>3776</v>
      </c>
      <c r="C1467" s="5" t="s">
        <v>89</v>
      </c>
      <c r="D1467" s="5" t="s">
        <v>90</v>
      </c>
      <c r="E1467" s="5" t="s">
        <v>376</v>
      </c>
      <c r="F1467" s="9">
        <v>19</v>
      </c>
      <c r="G1467" s="9">
        <v>222</v>
      </c>
      <c r="H1467" s="5" t="s">
        <v>20</v>
      </c>
      <c r="I1467" s="5" t="s">
        <v>3781</v>
      </c>
      <c r="J1467" s="12" t="str">
        <f>HYPERLINK("https://www.boe.es/gazeta/dias/1807/02/27/pdfs/GMD-1807-19.pdf#page=6","Abrir facsímil")</f>
        <v>Abrir facsímil</v>
      </c>
      <c r="K1467" s="15" t="s">
        <v>22</v>
      </c>
    </row>
    <row r="1468" spans="1:11" ht="42" customHeight="1">
      <c r="A1468" s="4" t="s">
        <v>3782</v>
      </c>
      <c r="B1468" s="5" t="s">
        <v>3783</v>
      </c>
      <c r="C1468" s="5" t="s">
        <v>34</v>
      </c>
      <c r="D1468" s="5" t="s">
        <v>35</v>
      </c>
      <c r="E1468" s="5" t="s">
        <v>30</v>
      </c>
      <c r="F1468" s="9">
        <v>13</v>
      </c>
      <c r="G1468" s="9">
        <v>149</v>
      </c>
      <c r="H1468" s="5" t="s">
        <v>20</v>
      </c>
      <c r="I1468" s="5" t="s">
        <v>3784</v>
      </c>
      <c r="J1468" s="12" t="str">
        <f>HYPERLINK("https://www.boe.es/gazeta/dias/1807/02/06/pdfs/GMD-1807-13.pdf#page=9","Abrir facsímil")</f>
        <v>Abrir facsímil</v>
      </c>
      <c r="K1468" s="15" t="s">
        <v>22</v>
      </c>
    </row>
    <row r="1469" spans="1:11" ht="42" customHeight="1">
      <c r="A1469" s="4" t="s">
        <v>3785</v>
      </c>
      <c r="B1469" s="5" t="s">
        <v>3785</v>
      </c>
      <c r="C1469" s="5" t="s">
        <v>34</v>
      </c>
      <c r="D1469" s="5" t="s">
        <v>35</v>
      </c>
      <c r="E1469" s="5" t="s">
        <v>498</v>
      </c>
      <c r="F1469" s="9">
        <v>32</v>
      </c>
      <c r="G1469" s="9">
        <v>383</v>
      </c>
      <c r="H1469" s="5" t="s">
        <v>20</v>
      </c>
      <c r="I1469" s="5" t="s">
        <v>3786</v>
      </c>
      <c r="J1469" s="12" t="str">
        <f>HYPERLINK("https://www.boe.es/gazeta/dias/1807/04/10/pdfs/GMD-1807-32.pdf#page=11","Abrir facsímil")</f>
        <v>Abrir facsímil</v>
      </c>
      <c r="K1469" s="15" t="s">
        <v>22</v>
      </c>
    </row>
    <row r="1470" spans="1:11" ht="42" customHeight="1">
      <c r="A1470" s="4" t="s">
        <v>3787</v>
      </c>
      <c r="B1470" s="5" t="s">
        <v>3788</v>
      </c>
      <c r="C1470" s="5" t="s">
        <v>28</v>
      </c>
      <c r="D1470" s="5" t="s">
        <v>29</v>
      </c>
      <c r="E1470" s="5" t="s">
        <v>76</v>
      </c>
      <c r="F1470" s="9">
        <v>7</v>
      </c>
      <c r="G1470" s="9">
        <v>81</v>
      </c>
      <c r="H1470" s="5" t="s">
        <v>20</v>
      </c>
      <c r="I1470" s="5" t="s">
        <v>3789</v>
      </c>
      <c r="J1470" s="12" t="str">
        <f>HYPERLINK("https://www.boe.es/gazeta/dias/1807/01/20/pdfs/GMD-1807-7.pdf#page=13","Abrir facsímil")</f>
        <v>Abrir facsímil</v>
      </c>
      <c r="K1470" s="15" t="s">
        <v>22</v>
      </c>
    </row>
    <row r="1471" spans="1:11" ht="42" customHeight="1">
      <c r="A1471" s="4" t="s">
        <v>3790</v>
      </c>
      <c r="B1471" s="5" t="s">
        <v>3791</v>
      </c>
      <c r="C1471" s="5" t="s">
        <v>34</v>
      </c>
      <c r="D1471" s="5" t="s">
        <v>35</v>
      </c>
      <c r="E1471" s="5" t="s">
        <v>152</v>
      </c>
      <c r="F1471" s="9">
        <v>61</v>
      </c>
      <c r="G1471" s="9">
        <v>720</v>
      </c>
      <c r="H1471" s="5" t="s">
        <v>20</v>
      </c>
      <c r="I1471" s="5" t="s">
        <v>3792</v>
      </c>
      <c r="J1471" s="12" t="str">
        <f>HYPERLINK("https://www.boe.es/gazeta/dias/1807/07/14/pdfs/GMD-1807-61.pdf#page=6","Abrir facsímil")</f>
        <v>Abrir facsímil</v>
      </c>
      <c r="K1471" s="15" t="s">
        <v>22</v>
      </c>
    </row>
    <row r="1472" spans="1:11" ht="42" customHeight="1">
      <c r="A1472" s="4" t="s">
        <v>3793</v>
      </c>
      <c r="B1472" s="5" t="s">
        <v>3794</v>
      </c>
      <c r="C1472" s="5" t="s">
        <v>28</v>
      </c>
      <c r="D1472" s="5" t="s">
        <v>29</v>
      </c>
      <c r="E1472" s="5" t="s">
        <v>266</v>
      </c>
      <c r="F1472" s="9">
        <v>67</v>
      </c>
      <c r="G1472" s="9">
        <v>772</v>
      </c>
      <c r="H1472" s="5" t="s">
        <v>20</v>
      </c>
      <c r="I1472" s="5" t="s">
        <v>3795</v>
      </c>
      <c r="J1472" s="12" t="str">
        <f>HYPERLINK("https://www.boe.es/gazeta/dias/1807/07/28/pdfs/GMD-1807-67.pdf#page=8","Abrir facsímil")</f>
        <v>Abrir facsímil</v>
      </c>
      <c r="K1472" s="15" t="s">
        <v>22</v>
      </c>
    </row>
    <row r="1473" spans="1:11" ht="42" customHeight="1">
      <c r="A1473" s="4" t="s">
        <v>3796</v>
      </c>
      <c r="B1473" s="5" t="s">
        <v>3796</v>
      </c>
      <c r="C1473" s="5" t="s">
        <v>49</v>
      </c>
      <c r="D1473" s="5" t="s">
        <v>50</v>
      </c>
      <c r="E1473" s="5" t="s">
        <v>245</v>
      </c>
      <c r="F1473" s="9">
        <v>97</v>
      </c>
      <c r="G1473" s="9">
        <v>1122</v>
      </c>
      <c r="H1473" s="5" t="s">
        <v>20</v>
      </c>
      <c r="I1473" s="5" t="s">
        <v>3797</v>
      </c>
      <c r="J1473" s="12" t="str">
        <f>HYPERLINK("https://www.boe.es/gazeta/dias/1807/10/30/pdfs/GMD-1807-97.pdf#page=2","Abrir facsímil")</f>
        <v>Abrir facsímil</v>
      </c>
      <c r="K1473" s="15" t="s">
        <v>22</v>
      </c>
    </row>
    <row r="1474" spans="1:11" ht="42" customHeight="1">
      <c r="A1474" s="4" t="s">
        <v>3798</v>
      </c>
      <c r="B1474" s="5" t="s">
        <v>3798</v>
      </c>
      <c r="C1474" s="5" t="s">
        <v>34</v>
      </c>
      <c r="D1474" s="5" t="s">
        <v>35</v>
      </c>
      <c r="E1474" s="5" t="s">
        <v>478</v>
      </c>
      <c r="F1474" s="9">
        <v>30</v>
      </c>
      <c r="G1474" s="9">
        <v>358</v>
      </c>
      <c r="H1474" s="5" t="s">
        <v>20</v>
      </c>
      <c r="I1474" s="5" t="s">
        <v>3799</v>
      </c>
      <c r="J1474" s="12" t="str">
        <f>HYPERLINK("https://www.boe.es/gazeta/dias/1807/04/03/pdfs/GMD-1807-30.pdf#page=10","Abrir facsímil")</f>
        <v>Abrir facsímil</v>
      </c>
      <c r="K1474" s="15" t="s">
        <v>22</v>
      </c>
    </row>
    <row r="1475" spans="1:11" ht="42" customHeight="1">
      <c r="A1475" s="4" t="s">
        <v>3800</v>
      </c>
      <c r="B1475" s="5" t="s">
        <v>3800</v>
      </c>
      <c r="C1475" s="5" t="s">
        <v>49</v>
      </c>
      <c r="D1475" s="5" t="s">
        <v>50</v>
      </c>
      <c r="E1475" s="5" t="s">
        <v>595</v>
      </c>
      <c r="F1475" s="9">
        <v>59</v>
      </c>
      <c r="G1475" s="9">
        <v>699</v>
      </c>
      <c r="H1475" s="5" t="s">
        <v>20</v>
      </c>
      <c r="I1475" s="5" t="s">
        <v>3801</v>
      </c>
      <c r="J1475" s="12" t="str">
        <f>HYPERLINK("https://www.boe.es/gazeta/dias/1807/07/10/pdfs/GMD-1807-59.pdf#page=5","Abrir facsímil")</f>
        <v>Abrir facsímil</v>
      </c>
      <c r="K1475" s="15" t="s">
        <v>22</v>
      </c>
    </row>
    <row r="1476" spans="1:11" ht="42" customHeight="1">
      <c r="A1476" s="4" t="s">
        <v>3802</v>
      </c>
      <c r="B1476" s="5" t="s">
        <v>3802</v>
      </c>
      <c r="C1476" s="5" t="s">
        <v>49</v>
      </c>
      <c r="D1476" s="5" t="s">
        <v>50</v>
      </c>
      <c r="E1476" s="5" t="s">
        <v>350</v>
      </c>
      <c r="F1476" s="9">
        <v>112</v>
      </c>
      <c r="G1476" s="9">
        <v>1301</v>
      </c>
      <c r="H1476" s="5" t="s">
        <v>20</v>
      </c>
      <c r="I1476" s="5" t="s">
        <v>3803</v>
      </c>
      <c r="J1476" s="12" t="str">
        <f>HYPERLINK("https://www.boe.es/gazeta/dias/1807/12/18/pdfs/GMD-1807-112.pdf#page=1","Abrir facsímil")</f>
        <v>Abrir facsímil</v>
      </c>
      <c r="K1476" s="15" t="s">
        <v>22</v>
      </c>
    </row>
    <row r="1477" spans="1:11" ht="42" customHeight="1">
      <c r="A1477" s="4" t="s">
        <v>3804</v>
      </c>
      <c r="B1477" s="5" t="s">
        <v>3805</v>
      </c>
      <c r="C1477" s="5" t="s">
        <v>34</v>
      </c>
      <c r="D1477" s="5" t="s">
        <v>35</v>
      </c>
      <c r="E1477" s="5" t="s">
        <v>53</v>
      </c>
      <c r="F1477" s="9">
        <v>64</v>
      </c>
      <c r="G1477" s="9">
        <v>747</v>
      </c>
      <c r="H1477" s="5" t="s">
        <v>20</v>
      </c>
      <c r="I1477" s="5" t="s">
        <v>3806</v>
      </c>
      <c r="J1477" s="12" t="str">
        <f>HYPERLINK("https://www.boe.es/gazeta/dias/1807/07/21/pdfs/GMD-1807-64.pdf#page=9","Abrir facsímil")</f>
        <v>Abrir facsímil</v>
      </c>
      <c r="K1477" s="15" t="s">
        <v>22</v>
      </c>
    </row>
    <row r="1478" spans="1:11" ht="42" customHeight="1">
      <c r="A1478" s="4" t="s">
        <v>3807</v>
      </c>
      <c r="B1478" s="5" t="s">
        <v>3807</v>
      </c>
      <c r="C1478" s="5" t="s">
        <v>28</v>
      </c>
      <c r="D1478" s="5" t="s">
        <v>29</v>
      </c>
      <c r="E1478" s="5" t="s">
        <v>25</v>
      </c>
      <c r="F1478" s="9">
        <v>45</v>
      </c>
      <c r="G1478" s="9">
        <v>538</v>
      </c>
      <c r="H1478" s="5" t="s">
        <v>20</v>
      </c>
      <c r="I1478" s="5" t="s">
        <v>3808</v>
      </c>
      <c r="J1478" s="12" t="str">
        <f>HYPERLINK("https://www.boe.es/gazeta/dias/1807/05/26/pdfs/GMD-1807-45.pdf#page=8","Abrir facsímil")</f>
        <v>Abrir facsímil</v>
      </c>
      <c r="K1478" s="15" t="s">
        <v>22</v>
      </c>
    </row>
    <row r="1479" spans="1:11" ht="42" customHeight="1">
      <c r="A1479" s="4" t="s">
        <v>3809</v>
      </c>
      <c r="B1479" s="5" t="s">
        <v>3810</v>
      </c>
      <c r="C1479" s="5" t="s">
        <v>34</v>
      </c>
      <c r="D1479" s="5" t="s">
        <v>35</v>
      </c>
      <c r="E1479" s="5" t="s">
        <v>393</v>
      </c>
      <c r="F1479" s="9">
        <v>15</v>
      </c>
      <c r="G1479" s="9">
        <v>172</v>
      </c>
      <c r="H1479" s="5" t="s">
        <v>20</v>
      </c>
      <c r="I1479" s="5" t="s">
        <v>3811</v>
      </c>
      <c r="J1479" s="12" t="str">
        <f>HYPERLINK("https://www.boe.es/gazeta/dias/1807/02/13/pdfs/GMD-1807-15.pdf#page=8","Abrir facsímil")</f>
        <v>Abrir facsímil</v>
      </c>
      <c r="K1479" s="15" t="s">
        <v>22</v>
      </c>
    </row>
    <row r="1480" spans="1:11" ht="42" customHeight="1">
      <c r="A1480" s="4" t="s">
        <v>3812</v>
      </c>
      <c r="B1480" s="5" t="s">
        <v>3813</v>
      </c>
      <c r="C1480" s="5" t="s">
        <v>28</v>
      </c>
      <c r="D1480" s="5" t="s">
        <v>29</v>
      </c>
      <c r="E1480" s="5" t="s">
        <v>149</v>
      </c>
      <c r="F1480" s="9">
        <v>38</v>
      </c>
      <c r="G1480" s="9">
        <v>455</v>
      </c>
      <c r="H1480" s="5" t="s">
        <v>20</v>
      </c>
      <c r="I1480" s="5" t="s">
        <v>3814</v>
      </c>
      <c r="J1480" s="12" t="str">
        <f>HYPERLINK("https://www.boe.es/gazeta/dias/1807/05/01/pdfs/GMD-1807-38.pdf#page=11","Abrir facsímil")</f>
        <v>Abrir facsímil</v>
      </c>
      <c r="K1480" s="15" t="s">
        <v>22</v>
      </c>
    </row>
    <row r="1481" spans="1:11" ht="42" customHeight="1">
      <c r="A1481" s="4" t="s">
        <v>3815</v>
      </c>
      <c r="B1481" s="5" t="s">
        <v>3816</v>
      </c>
      <c r="C1481" s="5" t="s">
        <v>24</v>
      </c>
      <c r="D1481" s="5" t="s">
        <v>18</v>
      </c>
      <c r="E1481" s="5" t="s">
        <v>464</v>
      </c>
      <c r="F1481" s="9">
        <v>18</v>
      </c>
      <c r="G1481" s="9">
        <v>212</v>
      </c>
      <c r="H1481" s="5" t="s">
        <v>20</v>
      </c>
      <c r="I1481" s="5" t="s">
        <v>3817</v>
      </c>
      <c r="J1481" s="12" t="str">
        <f>HYPERLINK("https://www.boe.es/gazeta/dias/1807/02/24/pdfs/GMD-1807-18.pdf#page=12","Abrir facsímil")</f>
        <v>Abrir facsímil</v>
      </c>
      <c r="K1481" s="15" t="s">
        <v>22</v>
      </c>
    </row>
    <row r="1482" spans="1:11" ht="42" customHeight="1">
      <c r="A1482" s="4" t="s">
        <v>3818</v>
      </c>
      <c r="B1482" s="5" t="s">
        <v>3818</v>
      </c>
      <c r="C1482" s="5" t="s">
        <v>49</v>
      </c>
      <c r="D1482" s="5" t="s">
        <v>50</v>
      </c>
      <c r="E1482" s="5" t="s">
        <v>572</v>
      </c>
      <c r="F1482" s="9">
        <v>14</v>
      </c>
      <c r="G1482" s="9">
        <v>157</v>
      </c>
      <c r="H1482" s="5" t="s">
        <v>20</v>
      </c>
      <c r="I1482" s="5" t="s">
        <v>3819</v>
      </c>
      <c r="J1482" s="12" t="str">
        <f>HYPERLINK("https://www.boe.es/gazeta/dias/1807/02/10/pdfs/GMD-1807-14.pdf#page=5","Abrir facsímil")</f>
        <v>Abrir facsímil</v>
      </c>
      <c r="K1482" s="15" t="s">
        <v>22</v>
      </c>
    </row>
    <row r="1483" spans="1:11" ht="42" customHeight="1">
      <c r="A1483" s="4" t="s">
        <v>3820</v>
      </c>
      <c r="B1483" s="5" t="s">
        <v>3820</v>
      </c>
      <c r="C1483" s="5" t="s">
        <v>49</v>
      </c>
      <c r="D1483" s="5" t="s">
        <v>50</v>
      </c>
      <c r="E1483" s="5" t="s">
        <v>572</v>
      </c>
      <c r="F1483" s="9">
        <v>14</v>
      </c>
      <c r="G1483" s="9">
        <v>157</v>
      </c>
      <c r="H1483" s="5" t="s">
        <v>20</v>
      </c>
      <c r="I1483" s="5" t="s">
        <v>3821</v>
      </c>
      <c r="J1483" s="12" t="str">
        <f>HYPERLINK("https://www.boe.es/gazeta/dias/1807/02/10/pdfs/GMD-1807-14.pdf#page=5","Abrir facsímil")</f>
        <v>Abrir facsímil</v>
      </c>
      <c r="K1483" s="15" t="s">
        <v>22</v>
      </c>
    </row>
    <row r="1484" spans="1:11" ht="42" customHeight="1">
      <c r="A1484" s="4" t="s">
        <v>3822</v>
      </c>
      <c r="B1484" s="5" t="s">
        <v>3822</v>
      </c>
      <c r="C1484" s="5" t="s">
        <v>89</v>
      </c>
      <c r="D1484" s="5" t="s">
        <v>90</v>
      </c>
      <c r="E1484" s="5" t="s">
        <v>530</v>
      </c>
      <c r="F1484" s="9">
        <v>79</v>
      </c>
      <c r="G1484" s="9">
        <v>923</v>
      </c>
      <c r="H1484" s="5" t="s">
        <v>20</v>
      </c>
      <c r="I1484" s="5" t="s">
        <v>3823</v>
      </c>
      <c r="J1484" s="12" t="str">
        <f>HYPERLINK("https://www.boe.es/gazeta/dias/1807/09/04/pdfs/GMD-1807-79.pdf#page=15","Abrir facsímil")</f>
        <v>Abrir facsímil</v>
      </c>
      <c r="K1484" s="15" t="s">
        <v>22</v>
      </c>
    </row>
    <row r="1485" spans="1:11" ht="42" customHeight="1">
      <c r="A1485" s="4" t="s">
        <v>3822</v>
      </c>
      <c r="B1485" s="5" t="s">
        <v>3822</v>
      </c>
      <c r="C1485" s="5" t="s">
        <v>89</v>
      </c>
      <c r="D1485" s="5" t="s">
        <v>90</v>
      </c>
      <c r="E1485" s="5" t="s">
        <v>135</v>
      </c>
      <c r="F1485" s="9">
        <v>80</v>
      </c>
      <c r="G1485" s="9">
        <v>935</v>
      </c>
      <c r="H1485" s="5" t="s">
        <v>20</v>
      </c>
      <c r="I1485" s="5" t="s">
        <v>3824</v>
      </c>
      <c r="J1485" s="12" t="str">
        <f>HYPERLINK("https://www.boe.es/gazeta/dias/1807/09/08/pdfs/GMD-1807-80.pdf#page=11","Abrir facsímil")</f>
        <v>Abrir facsímil</v>
      </c>
      <c r="K1485" s="15" t="s">
        <v>22</v>
      </c>
    </row>
    <row r="1486" spans="1:11" ht="42" customHeight="1">
      <c r="A1486" s="4" t="s">
        <v>3825</v>
      </c>
      <c r="B1486" s="5" t="s">
        <v>3825</v>
      </c>
      <c r="C1486" s="5" t="s">
        <v>69</v>
      </c>
      <c r="D1486" s="5" t="s">
        <v>70</v>
      </c>
      <c r="E1486" s="5" t="s">
        <v>71</v>
      </c>
      <c r="F1486" s="9">
        <v>35</v>
      </c>
      <c r="G1486" s="9" t="s">
        <v>72</v>
      </c>
      <c r="H1486" s="5" t="s">
        <v>20</v>
      </c>
      <c r="I1486" s="5" t="s">
        <v>3826</v>
      </c>
      <c r="J1486" s="12" t="str">
        <f>HYPERLINK("https://www.boe.es/gazeta/dias/1807/04/21/pdfs/C00001-00004.pdf#page=1","Abrir facsímil")</f>
        <v>Abrir facsímil</v>
      </c>
      <c r="K1486" s="15" t="s">
        <v>22</v>
      </c>
    </row>
    <row r="1487" spans="1:11" ht="42" customHeight="1">
      <c r="A1487" s="4" t="s">
        <v>3827</v>
      </c>
      <c r="B1487" s="5" t="s">
        <v>3827</v>
      </c>
      <c r="C1487" s="5" t="s">
        <v>28</v>
      </c>
      <c r="D1487" s="5" t="s">
        <v>29</v>
      </c>
      <c r="E1487" s="5" t="s">
        <v>1340</v>
      </c>
      <c r="F1487" s="9">
        <v>114</v>
      </c>
      <c r="G1487" s="9">
        <v>1327</v>
      </c>
      <c r="H1487" s="5" t="s">
        <v>20</v>
      </c>
      <c r="I1487" s="5" t="s">
        <v>3828</v>
      </c>
      <c r="J1487" s="12" t="str">
        <f>HYPERLINK("https://www.boe.es/gazeta/dias/1807/12/25/pdfs/GMD-1807-114.pdf#page=3","Abrir facsímil")</f>
        <v>Abrir facsímil</v>
      </c>
      <c r="K1487" s="15" t="s">
        <v>22</v>
      </c>
    </row>
    <row r="1488" spans="1:11" ht="42" customHeight="1">
      <c r="A1488" s="4" t="s">
        <v>3829</v>
      </c>
      <c r="B1488" s="5" t="s">
        <v>3830</v>
      </c>
      <c r="C1488" s="5" t="s">
        <v>252</v>
      </c>
      <c r="D1488" s="5" t="s">
        <v>253</v>
      </c>
      <c r="E1488" s="5" t="s">
        <v>314</v>
      </c>
      <c r="F1488" s="9" t="s">
        <v>315</v>
      </c>
      <c r="G1488" s="9">
        <v>1223</v>
      </c>
      <c r="H1488" s="5" t="s">
        <v>20</v>
      </c>
      <c r="I1488" s="5" t="s">
        <v>3831</v>
      </c>
      <c r="J1488" s="12" t="str">
        <f>HYPERLINK("https://www.boe.es/gazeta/dias/1807/11/26/pdfs/GMD-1807-105E.pdf#page=7","Abrir facsímil")</f>
        <v>Abrir facsímil</v>
      </c>
      <c r="K1488" s="15" t="s">
        <v>22</v>
      </c>
    </row>
    <row r="1489" spans="1:11" ht="42" customHeight="1">
      <c r="A1489" s="4" t="s">
        <v>3832</v>
      </c>
      <c r="B1489" s="5" t="s">
        <v>3833</v>
      </c>
      <c r="C1489" s="5" t="s">
        <v>34</v>
      </c>
      <c r="D1489" s="5" t="s">
        <v>35</v>
      </c>
      <c r="E1489" s="5" t="s">
        <v>86</v>
      </c>
      <c r="F1489" s="9">
        <v>12</v>
      </c>
      <c r="G1489" s="9">
        <v>130</v>
      </c>
      <c r="H1489" s="5" t="s">
        <v>20</v>
      </c>
      <c r="I1489" s="5" t="s">
        <v>3834</v>
      </c>
      <c r="J1489" s="12" t="str">
        <f>HYPERLINK("https://www.boe.es/gazeta/dias/1807/02/03/pdfs/GMD-1807-12.pdf#page=2","Abrir facsímil")</f>
        <v>Abrir facsímil</v>
      </c>
      <c r="K1489" s="15" t="s">
        <v>22</v>
      </c>
    </row>
    <row r="1490" spans="1:11" ht="42" customHeight="1">
      <c r="A1490" s="4" t="s">
        <v>3835</v>
      </c>
      <c r="B1490" s="5" t="s">
        <v>3836</v>
      </c>
      <c r="C1490" s="5" t="s">
        <v>17</v>
      </c>
      <c r="D1490" s="5" t="s">
        <v>18</v>
      </c>
      <c r="E1490" s="5" t="s">
        <v>53</v>
      </c>
      <c r="F1490" s="9">
        <v>64</v>
      </c>
      <c r="G1490" s="9">
        <v>749</v>
      </c>
      <c r="H1490" s="5" t="s">
        <v>20</v>
      </c>
      <c r="I1490" s="5" t="s">
        <v>3837</v>
      </c>
      <c r="J1490" s="12" t="str">
        <f>HYPERLINK("https://www.boe.es/gazeta/dias/1807/07/21/pdfs/GMD-1807-64.pdf#page=11","Abrir facsímil")</f>
        <v>Abrir facsímil</v>
      </c>
      <c r="K1490" s="15" t="s">
        <v>22</v>
      </c>
    </row>
    <row r="1491" spans="1:11" ht="42" customHeight="1">
      <c r="A1491" s="4" t="s">
        <v>3838</v>
      </c>
      <c r="B1491" s="5" t="s">
        <v>3839</v>
      </c>
      <c r="C1491" s="5" t="s">
        <v>28</v>
      </c>
      <c r="D1491" s="5" t="s">
        <v>29</v>
      </c>
      <c r="E1491" s="5" t="s">
        <v>104</v>
      </c>
      <c r="F1491" s="9">
        <v>25</v>
      </c>
      <c r="G1491" s="9">
        <v>302</v>
      </c>
      <c r="H1491" s="5" t="s">
        <v>20</v>
      </c>
      <c r="I1491" s="5" t="s">
        <v>3840</v>
      </c>
      <c r="J1491" s="12" t="str">
        <f>HYPERLINK("https://www.boe.es/gazeta/dias/1807/03/17/pdfs/GMD-1807-25.pdf#page=10","Abrir facsímil")</f>
        <v>Abrir facsímil</v>
      </c>
      <c r="K1491" s="15" t="s">
        <v>22</v>
      </c>
    </row>
    <row r="1492" spans="1:11" ht="42" customHeight="1">
      <c r="A1492" s="4" t="s">
        <v>3838</v>
      </c>
      <c r="B1492" s="5" t="s">
        <v>3839</v>
      </c>
      <c r="C1492" s="5" t="s">
        <v>28</v>
      </c>
      <c r="D1492" s="5" t="s">
        <v>29</v>
      </c>
      <c r="E1492" s="5" t="s">
        <v>53</v>
      </c>
      <c r="F1492" s="9">
        <v>64</v>
      </c>
      <c r="G1492" s="9">
        <v>748</v>
      </c>
      <c r="H1492" s="5" t="s">
        <v>20</v>
      </c>
      <c r="I1492" s="5" t="s">
        <v>3841</v>
      </c>
      <c r="J1492" s="12" t="str">
        <f>HYPERLINK("https://www.boe.es/gazeta/dias/1807/07/21/pdfs/GMD-1807-64.pdf#page=10","Abrir facsímil")</f>
        <v>Abrir facsímil</v>
      </c>
      <c r="K1492" s="15" t="s">
        <v>22</v>
      </c>
    </row>
    <row r="1493" spans="1:11" ht="42" customHeight="1">
      <c r="A1493" s="4" t="s">
        <v>3842</v>
      </c>
      <c r="B1493" s="5" t="s">
        <v>3843</v>
      </c>
      <c r="C1493" s="5" t="s">
        <v>34</v>
      </c>
      <c r="D1493" s="5" t="s">
        <v>35</v>
      </c>
      <c r="E1493" s="5" t="s">
        <v>314</v>
      </c>
      <c r="F1493" s="9" t="s">
        <v>315</v>
      </c>
      <c r="G1493" s="9">
        <v>1221</v>
      </c>
      <c r="H1493" s="5" t="s">
        <v>20</v>
      </c>
      <c r="I1493" s="5" t="s">
        <v>3844</v>
      </c>
      <c r="J1493" s="12" t="str">
        <f>HYPERLINK("https://www.boe.es/gazeta/dias/1807/11/26/pdfs/GMD-1807-105E.pdf#page=5","Abrir facsímil")</f>
        <v>Abrir facsímil</v>
      </c>
      <c r="K1493" s="15" t="s">
        <v>22</v>
      </c>
    </row>
    <row r="1494" spans="1:11" ht="42" customHeight="1">
      <c r="A1494" s="4" t="s">
        <v>3845</v>
      </c>
      <c r="B1494" s="5" t="s">
        <v>3846</v>
      </c>
      <c r="C1494" s="5" t="s">
        <v>28</v>
      </c>
      <c r="D1494" s="5" t="s">
        <v>29</v>
      </c>
      <c r="E1494" s="5" t="s">
        <v>104</v>
      </c>
      <c r="F1494" s="9">
        <v>25</v>
      </c>
      <c r="G1494" s="9">
        <v>302</v>
      </c>
      <c r="H1494" s="5" t="s">
        <v>20</v>
      </c>
      <c r="I1494" s="5" t="s">
        <v>3847</v>
      </c>
      <c r="J1494" s="12" t="str">
        <f>HYPERLINK("https://www.boe.es/gazeta/dias/1807/03/17/pdfs/GMD-1807-25.pdf#page=10","Abrir facsímil")</f>
        <v>Abrir facsímil</v>
      </c>
      <c r="K1494" s="15" t="s">
        <v>22</v>
      </c>
    </row>
    <row r="1495" spans="1:11" ht="42" customHeight="1">
      <c r="A1495" s="4" t="s">
        <v>3845</v>
      </c>
      <c r="B1495" s="5" t="s">
        <v>3846</v>
      </c>
      <c r="C1495" s="5" t="s">
        <v>28</v>
      </c>
      <c r="D1495" s="5" t="s">
        <v>29</v>
      </c>
      <c r="E1495" s="5" t="s">
        <v>53</v>
      </c>
      <c r="F1495" s="9">
        <v>64</v>
      </c>
      <c r="G1495" s="9">
        <v>748</v>
      </c>
      <c r="H1495" s="5" t="s">
        <v>20</v>
      </c>
      <c r="I1495" s="5" t="s">
        <v>3848</v>
      </c>
      <c r="J1495" s="12" t="str">
        <f>HYPERLINK("https://www.boe.es/gazeta/dias/1807/07/21/pdfs/GMD-1807-64.pdf#page=10","Abrir facsímil")</f>
        <v>Abrir facsímil</v>
      </c>
      <c r="K1495" s="15" t="s">
        <v>22</v>
      </c>
    </row>
    <row r="1496" spans="1:11" ht="42" customHeight="1">
      <c r="A1496" s="4" t="s">
        <v>3849</v>
      </c>
      <c r="B1496" s="5" t="s">
        <v>3849</v>
      </c>
      <c r="C1496" s="5" t="s">
        <v>49</v>
      </c>
      <c r="D1496" s="5" t="s">
        <v>50</v>
      </c>
      <c r="E1496" s="5" t="s">
        <v>530</v>
      </c>
      <c r="F1496" s="9">
        <v>79</v>
      </c>
      <c r="G1496" s="9">
        <v>910</v>
      </c>
      <c r="H1496" s="5" t="s">
        <v>20</v>
      </c>
      <c r="I1496" s="5" t="s">
        <v>3850</v>
      </c>
      <c r="J1496" s="12" t="str">
        <f>HYPERLINK("https://www.boe.es/gazeta/dias/1807/09/04/pdfs/GMD-1807-79.pdf#page=2","Abrir facsímil")</f>
        <v>Abrir facsímil</v>
      </c>
      <c r="K1496" s="15" t="s">
        <v>22</v>
      </c>
    </row>
    <row r="1497" spans="1:11" ht="42" customHeight="1">
      <c r="A1497" s="4" t="s">
        <v>3851</v>
      </c>
      <c r="B1497" s="5" t="s">
        <v>3851</v>
      </c>
      <c r="C1497" s="5" t="s">
        <v>49</v>
      </c>
      <c r="D1497" s="5" t="s">
        <v>50</v>
      </c>
      <c r="E1497" s="5" t="s">
        <v>507</v>
      </c>
      <c r="F1497" s="9">
        <v>48</v>
      </c>
      <c r="G1497" s="9">
        <v>564</v>
      </c>
      <c r="H1497" s="5" t="s">
        <v>20</v>
      </c>
      <c r="I1497" s="5" t="s">
        <v>3852</v>
      </c>
      <c r="J1497" s="12" t="str">
        <f>HYPERLINK("https://www.boe.es/gazeta/dias/1807/06/05/pdfs/GMD-1807-48.pdf#page=2","Abrir facsímil")</f>
        <v>Abrir facsímil</v>
      </c>
      <c r="K1497" s="15" t="s">
        <v>22</v>
      </c>
    </row>
    <row r="1498" spans="1:11" ht="42" customHeight="1">
      <c r="A1498" s="4" t="s">
        <v>3853</v>
      </c>
      <c r="B1498" s="5" t="s">
        <v>3853</v>
      </c>
      <c r="C1498" s="5" t="s">
        <v>49</v>
      </c>
      <c r="D1498" s="5" t="s">
        <v>50</v>
      </c>
      <c r="E1498" s="5" t="s">
        <v>259</v>
      </c>
      <c r="F1498" s="9">
        <v>3</v>
      </c>
      <c r="G1498" s="9">
        <v>21</v>
      </c>
      <c r="H1498" s="5" t="s">
        <v>20</v>
      </c>
      <c r="I1498" s="5" t="s">
        <v>3854</v>
      </c>
      <c r="J1498" s="12" t="str">
        <f>HYPERLINK("https://www.boe.es/gazeta/dias/1807/01/09/pdfs/GMD-1807-3.pdf#page=1","Abrir facsímil")</f>
        <v>Abrir facsímil</v>
      </c>
      <c r="K1498" s="15" t="s">
        <v>22</v>
      </c>
    </row>
    <row r="1499" spans="1:11" ht="42" customHeight="1">
      <c r="A1499" s="4" t="s">
        <v>3855</v>
      </c>
      <c r="B1499" s="5" t="s">
        <v>3855</v>
      </c>
      <c r="C1499" s="5" t="s">
        <v>49</v>
      </c>
      <c r="D1499" s="5" t="s">
        <v>50</v>
      </c>
      <c r="E1499" s="5" t="s">
        <v>101</v>
      </c>
      <c r="F1499" s="9">
        <v>23</v>
      </c>
      <c r="G1499" s="9">
        <v>266</v>
      </c>
      <c r="H1499" s="5" t="s">
        <v>20</v>
      </c>
      <c r="I1499" s="5" t="s">
        <v>3856</v>
      </c>
      <c r="J1499" s="12" t="str">
        <f>HYPERLINK("https://www.boe.es/gazeta/dias/1807/03/10/pdfs/GMD-1807-23.pdf#page=6","Abrir facsímil")</f>
        <v>Abrir facsímil</v>
      </c>
      <c r="K1499" s="15" t="s">
        <v>22</v>
      </c>
    </row>
    <row r="1500" spans="1:11" ht="42" customHeight="1">
      <c r="A1500" s="4" t="s">
        <v>3857</v>
      </c>
      <c r="B1500" s="5" t="s">
        <v>3857</v>
      </c>
      <c r="C1500" s="5" t="s">
        <v>49</v>
      </c>
      <c r="D1500" s="5" t="s">
        <v>50</v>
      </c>
      <c r="E1500" s="5" t="s">
        <v>384</v>
      </c>
      <c r="F1500" s="9">
        <v>111</v>
      </c>
      <c r="G1500" s="9">
        <v>1295</v>
      </c>
      <c r="H1500" s="5" t="s">
        <v>20</v>
      </c>
      <c r="I1500" s="5" t="s">
        <v>3858</v>
      </c>
      <c r="J1500" s="12" t="str">
        <f>HYPERLINK("https://www.boe.es/gazeta/dias/1807/12/15/pdfs/GMD-1807-111.pdf#page=7","Abrir facsímil")</f>
        <v>Abrir facsímil</v>
      </c>
      <c r="K1500" s="15" t="s">
        <v>22</v>
      </c>
    </row>
    <row r="1501" spans="1:11" ht="42" customHeight="1">
      <c r="A1501" s="4" t="s">
        <v>3859</v>
      </c>
      <c r="B1501" s="5" t="s">
        <v>3860</v>
      </c>
      <c r="C1501" s="5" t="s">
        <v>89</v>
      </c>
      <c r="D1501" s="5" t="s">
        <v>90</v>
      </c>
      <c r="E1501" s="5" t="s">
        <v>1456</v>
      </c>
      <c r="F1501" s="9">
        <v>98</v>
      </c>
      <c r="G1501" s="9">
        <v>1144</v>
      </c>
      <c r="H1501" s="5" t="s">
        <v>20</v>
      </c>
      <c r="I1501" s="5" t="s">
        <v>3861</v>
      </c>
      <c r="J1501" s="12" t="str">
        <f>HYPERLINK("https://www.boe.es/gazeta/dias/1807/11/03/pdfs/GMD-1807-98.pdf#page=12","Abrir facsímil")</f>
        <v>Abrir facsímil</v>
      </c>
      <c r="K1501" s="15" t="s">
        <v>22</v>
      </c>
    </row>
    <row r="1502" spans="1:11" ht="42" customHeight="1">
      <c r="A1502" s="4" t="s">
        <v>3862</v>
      </c>
      <c r="B1502" s="5" t="s">
        <v>3862</v>
      </c>
      <c r="C1502" s="5" t="s">
        <v>34</v>
      </c>
      <c r="D1502" s="5" t="s">
        <v>35</v>
      </c>
      <c r="E1502" s="5" t="s">
        <v>595</v>
      </c>
      <c r="F1502" s="9">
        <v>59</v>
      </c>
      <c r="G1502" s="9">
        <v>702</v>
      </c>
      <c r="H1502" s="5" t="s">
        <v>20</v>
      </c>
      <c r="I1502" s="5" t="s">
        <v>3863</v>
      </c>
      <c r="J1502" s="12" t="str">
        <f>HYPERLINK("https://www.boe.es/gazeta/dias/1807/07/10/pdfs/GMD-1807-59.pdf#page=8","Abrir facsímil")</f>
        <v>Abrir facsímil</v>
      </c>
      <c r="K1502" s="15" t="s">
        <v>22</v>
      </c>
    </row>
    <row r="1503" spans="1:11" ht="42" customHeight="1">
      <c r="A1503" s="4" t="s">
        <v>3864</v>
      </c>
      <c r="B1503" s="5" t="s">
        <v>3865</v>
      </c>
      <c r="C1503" s="5" t="s">
        <v>28</v>
      </c>
      <c r="D1503" s="5" t="s">
        <v>29</v>
      </c>
      <c r="E1503" s="5" t="s">
        <v>42</v>
      </c>
      <c r="F1503" s="9">
        <v>31</v>
      </c>
      <c r="G1503" s="9">
        <v>367</v>
      </c>
      <c r="H1503" s="5" t="s">
        <v>20</v>
      </c>
      <c r="I1503" s="5" t="s">
        <v>3866</v>
      </c>
      <c r="J1503" s="12" t="str">
        <f>HYPERLINK("https://www.boe.es/gazeta/dias/1807/04/07/pdfs/GMD-1807-31.pdf#page=7","Abrir facsímil")</f>
        <v>Abrir facsímil</v>
      </c>
      <c r="K1503" s="15" t="s">
        <v>22</v>
      </c>
    </row>
    <row r="1504" spans="1:11" ht="42" customHeight="1">
      <c r="A1504" s="4" t="s">
        <v>3864</v>
      </c>
      <c r="B1504" s="5" t="s">
        <v>3865</v>
      </c>
      <c r="C1504" s="5" t="s">
        <v>34</v>
      </c>
      <c r="D1504" s="5" t="s">
        <v>35</v>
      </c>
      <c r="E1504" s="5" t="s">
        <v>186</v>
      </c>
      <c r="F1504" s="9">
        <v>72</v>
      </c>
      <c r="G1504" s="9">
        <v>828</v>
      </c>
      <c r="H1504" s="5" t="s">
        <v>20</v>
      </c>
      <c r="I1504" s="5" t="s">
        <v>3867</v>
      </c>
      <c r="J1504" s="12" t="str">
        <f>HYPERLINK("https://www.boe.es/gazeta/dias/1807/08/11/pdfs/GMD-1807-72.pdf#page=8","Abrir facsímil")</f>
        <v>Abrir facsímil</v>
      </c>
      <c r="K1504" s="15" t="s">
        <v>22</v>
      </c>
    </row>
    <row r="1505" spans="1:11" ht="42" customHeight="1">
      <c r="A1505" s="4" t="s">
        <v>3868</v>
      </c>
      <c r="B1505" s="5" t="s">
        <v>3868</v>
      </c>
      <c r="C1505" s="5" t="s">
        <v>34</v>
      </c>
      <c r="D1505" s="5" t="s">
        <v>35</v>
      </c>
      <c r="E1505" s="5" t="s">
        <v>167</v>
      </c>
      <c r="F1505" s="9">
        <v>77</v>
      </c>
      <c r="G1505" s="9">
        <v>892</v>
      </c>
      <c r="H1505" s="5" t="s">
        <v>20</v>
      </c>
      <c r="I1505" s="5" t="s">
        <v>3869</v>
      </c>
      <c r="J1505" s="12" t="str">
        <f>HYPERLINK("https://www.boe.es/gazeta/dias/1807/08/28/pdfs/GMD-1807-77.pdf#page=8","Abrir facsímil")</f>
        <v>Abrir facsímil</v>
      </c>
      <c r="K1505" s="15" t="s">
        <v>22</v>
      </c>
    </row>
    <row r="1506" spans="1:11" ht="42" customHeight="1">
      <c r="A1506" s="4" t="s">
        <v>3870</v>
      </c>
      <c r="B1506" s="5" t="s">
        <v>3871</v>
      </c>
      <c r="C1506" s="5" t="s">
        <v>49</v>
      </c>
      <c r="D1506" s="5" t="s">
        <v>50</v>
      </c>
      <c r="E1506" s="5" t="s">
        <v>120</v>
      </c>
      <c r="F1506" s="9">
        <v>10</v>
      </c>
      <c r="G1506" s="9">
        <v>105</v>
      </c>
      <c r="H1506" s="5" t="s">
        <v>20</v>
      </c>
      <c r="I1506" s="5" t="s">
        <v>3872</v>
      </c>
      <c r="J1506" s="12" t="str">
        <f>HYPERLINK("https://www.boe.es/gazeta/dias/1807/01/27/pdfs/GMD-1807-10.pdf#page=1","Abrir facsímil")</f>
        <v>Abrir facsímil</v>
      </c>
      <c r="K1506" s="15" t="s">
        <v>22</v>
      </c>
    </row>
    <row r="1507" spans="1:11" ht="42" customHeight="1">
      <c r="A1507" s="4" t="s">
        <v>3873</v>
      </c>
      <c r="B1507" s="5" t="s">
        <v>3873</v>
      </c>
      <c r="C1507" s="5" t="s">
        <v>34</v>
      </c>
      <c r="D1507" s="5" t="s">
        <v>35</v>
      </c>
      <c r="E1507" s="5" t="s">
        <v>270</v>
      </c>
      <c r="F1507" s="9">
        <v>8</v>
      </c>
      <c r="G1507" s="9">
        <v>85</v>
      </c>
      <c r="H1507" s="5" t="s">
        <v>20</v>
      </c>
      <c r="I1507" s="5" t="s">
        <v>3874</v>
      </c>
      <c r="J1507" s="12" t="str">
        <f>HYPERLINK("https://www.boe.es/gazeta/dias/1807/01/23/pdfs/GMD-1807-8.pdf#page=1","Abrir facsímil")</f>
        <v>Abrir facsímil</v>
      </c>
      <c r="K1507" s="15" t="s">
        <v>22</v>
      </c>
    </row>
    <row r="1508" spans="1:11" ht="42" customHeight="1">
      <c r="A1508" s="4" t="s">
        <v>3873</v>
      </c>
      <c r="B1508" s="5" t="s">
        <v>3873</v>
      </c>
      <c r="C1508" s="5" t="s">
        <v>49</v>
      </c>
      <c r="D1508" s="5" t="s">
        <v>50</v>
      </c>
      <c r="E1508" s="5" t="s">
        <v>464</v>
      </c>
      <c r="F1508" s="9">
        <v>18</v>
      </c>
      <c r="G1508" s="9">
        <v>207</v>
      </c>
      <c r="H1508" s="5" t="s">
        <v>20</v>
      </c>
      <c r="I1508" s="5" t="s">
        <v>3875</v>
      </c>
      <c r="J1508" s="12" t="str">
        <f>HYPERLINK("https://www.boe.es/gazeta/dias/1807/02/24/pdfs/GMD-1807-18.pdf#page=7","Abrir facsímil")</f>
        <v>Abrir facsímil</v>
      </c>
      <c r="K1508" s="15" t="s">
        <v>22</v>
      </c>
    </row>
    <row r="1509" spans="1:11" ht="42" customHeight="1">
      <c r="A1509" s="4" t="s">
        <v>3873</v>
      </c>
      <c r="B1509" s="5" t="s">
        <v>3873</v>
      </c>
      <c r="C1509" s="5" t="s">
        <v>49</v>
      </c>
      <c r="D1509" s="5" t="s">
        <v>50</v>
      </c>
      <c r="E1509" s="5" t="s">
        <v>135</v>
      </c>
      <c r="F1509" s="9">
        <v>80</v>
      </c>
      <c r="G1509" s="9">
        <v>926</v>
      </c>
      <c r="H1509" s="5" t="s">
        <v>20</v>
      </c>
      <c r="I1509" s="5" t="s">
        <v>3876</v>
      </c>
      <c r="J1509" s="12" t="str">
        <f>HYPERLINK("https://www.boe.es/gazeta/dias/1807/09/08/pdfs/GMD-1807-80.pdf#page=2","Abrir facsímil")</f>
        <v>Abrir facsímil</v>
      </c>
      <c r="K1509" s="15" t="s">
        <v>22</v>
      </c>
    </row>
    <row r="1510" spans="1:11" ht="42" customHeight="1">
      <c r="A1510" s="4" t="s">
        <v>3877</v>
      </c>
      <c r="B1510" s="5" t="s">
        <v>3878</v>
      </c>
      <c r="C1510" s="5" t="s">
        <v>34</v>
      </c>
      <c r="D1510" s="5" t="s">
        <v>35</v>
      </c>
      <c r="E1510" s="5" t="s">
        <v>406</v>
      </c>
      <c r="F1510" s="9">
        <v>82</v>
      </c>
      <c r="G1510" s="9">
        <v>956</v>
      </c>
      <c r="H1510" s="5" t="s">
        <v>20</v>
      </c>
      <c r="I1510" s="5" t="s">
        <v>3879</v>
      </c>
      <c r="J1510" s="12" t="str">
        <f>HYPERLINK("https://www.boe.es/gazeta/dias/1807/09/15/pdfs/GMD-1807-82.pdf#page=8","Abrir facsímil")</f>
        <v>Abrir facsímil</v>
      </c>
      <c r="K1510" s="15" t="s">
        <v>22</v>
      </c>
    </row>
    <row r="1511" spans="1:11" ht="42" customHeight="1">
      <c r="A1511" s="4" t="s">
        <v>3880</v>
      </c>
      <c r="B1511" s="5" t="s">
        <v>3881</v>
      </c>
      <c r="C1511" s="5" t="s">
        <v>34</v>
      </c>
      <c r="D1511" s="5" t="s">
        <v>35</v>
      </c>
      <c r="E1511" s="5" t="s">
        <v>1340</v>
      </c>
      <c r="F1511" s="9">
        <v>114</v>
      </c>
      <c r="G1511" s="9">
        <v>1332</v>
      </c>
      <c r="H1511" s="5" t="s">
        <v>20</v>
      </c>
      <c r="I1511" s="5" t="s">
        <v>3882</v>
      </c>
      <c r="J1511" s="12" t="str">
        <f>HYPERLINK("https://www.boe.es/gazeta/dias/1807/12/25/pdfs/GMD-1807-114.pdf#page=8","Abrir facsímil")</f>
        <v>Abrir facsímil</v>
      </c>
      <c r="K1511" s="15" t="s">
        <v>22</v>
      </c>
    </row>
    <row r="1512" spans="1:11" ht="42" customHeight="1">
      <c r="A1512" s="4" t="s">
        <v>3883</v>
      </c>
      <c r="B1512" s="5" t="s">
        <v>3884</v>
      </c>
      <c r="C1512" s="5" t="s">
        <v>17</v>
      </c>
      <c r="D1512" s="5" t="s">
        <v>18</v>
      </c>
      <c r="E1512" s="5" t="s">
        <v>111</v>
      </c>
      <c r="F1512" s="9">
        <v>90</v>
      </c>
      <c r="G1512" s="9">
        <v>1044</v>
      </c>
      <c r="H1512" s="5" t="s">
        <v>20</v>
      </c>
      <c r="I1512" s="5" t="s">
        <v>3885</v>
      </c>
      <c r="J1512" s="12" t="str">
        <f>HYPERLINK("https://www.boe.es/gazeta/dias/1807/10/06/pdfs/GMD-1807-90.pdf#page=12","Abrir facsímil")</f>
        <v>Abrir facsímil</v>
      </c>
      <c r="K1512" s="15" t="s">
        <v>22</v>
      </c>
    </row>
    <row r="1513" spans="1:11" ht="42" customHeight="1">
      <c r="A1513" s="4" t="s">
        <v>3886</v>
      </c>
      <c r="B1513" s="5" t="s">
        <v>3887</v>
      </c>
      <c r="C1513" s="5" t="s">
        <v>34</v>
      </c>
      <c r="D1513" s="5" t="s">
        <v>35</v>
      </c>
      <c r="E1513" s="5" t="s">
        <v>305</v>
      </c>
      <c r="F1513" s="9">
        <v>53</v>
      </c>
      <c r="G1513" s="9">
        <v>634</v>
      </c>
      <c r="H1513" s="5" t="s">
        <v>20</v>
      </c>
      <c r="I1513" s="5" t="s">
        <v>3888</v>
      </c>
      <c r="J1513" s="12" t="str">
        <f>HYPERLINK("https://www.boe.es/gazeta/dias/1807/06/23/pdfs/GMD-1807-53.pdf#page=8","Abrir facsímil")</f>
        <v>Abrir facsímil</v>
      </c>
      <c r="K1513" s="15" t="s">
        <v>22</v>
      </c>
    </row>
    <row r="1514" spans="1:11" ht="42" customHeight="1">
      <c r="A1514" s="4" t="s">
        <v>3889</v>
      </c>
      <c r="B1514" s="5" t="s">
        <v>3890</v>
      </c>
      <c r="C1514" s="5" t="s">
        <v>34</v>
      </c>
      <c r="D1514" s="5" t="s">
        <v>35</v>
      </c>
      <c r="E1514" s="5" t="s">
        <v>319</v>
      </c>
      <c r="F1514" s="9">
        <v>54</v>
      </c>
      <c r="G1514" s="9">
        <v>645</v>
      </c>
      <c r="H1514" s="5" t="s">
        <v>20</v>
      </c>
      <c r="I1514" s="5" t="s">
        <v>3891</v>
      </c>
      <c r="J1514" s="12" t="str">
        <f>HYPERLINK("https://www.boe.es/gazeta/dias/1807/06/26/pdfs/GMD-1807-54.pdf#page=7","Abrir facsímil")</f>
        <v>Abrir facsímil</v>
      </c>
      <c r="K1514" s="15" t="s">
        <v>22</v>
      </c>
    </row>
    <row r="1515" spans="1:11" ht="42" customHeight="1">
      <c r="A1515" s="4" t="s">
        <v>3892</v>
      </c>
      <c r="B1515" s="5" t="s">
        <v>3893</v>
      </c>
      <c r="C1515" s="5" t="s">
        <v>28</v>
      </c>
      <c r="D1515" s="5" t="s">
        <v>29</v>
      </c>
      <c r="E1515" s="5" t="s">
        <v>654</v>
      </c>
      <c r="F1515" s="9">
        <v>94</v>
      </c>
      <c r="G1515" s="9">
        <v>1096</v>
      </c>
      <c r="H1515" s="5" t="s">
        <v>20</v>
      </c>
      <c r="I1515" s="5" t="s">
        <v>3894</v>
      </c>
      <c r="J1515" s="12" t="str">
        <f>HYPERLINK("https://www.boe.es/gazeta/dias/1807/10/20/pdfs/GMD-1807-94.pdf#page=12","Abrir facsímil")</f>
        <v>Abrir facsímil</v>
      </c>
      <c r="K1515" s="15" t="s">
        <v>22</v>
      </c>
    </row>
    <row r="1516" spans="1:11" ht="42" customHeight="1">
      <c r="A1516" s="4" t="s">
        <v>3895</v>
      </c>
      <c r="B1516" s="5" t="s">
        <v>3895</v>
      </c>
      <c r="C1516" s="5" t="s">
        <v>34</v>
      </c>
      <c r="D1516" s="5" t="s">
        <v>35</v>
      </c>
      <c r="E1516" s="5" t="s">
        <v>183</v>
      </c>
      <c r="F1516" s="9">
        <v>1</v>
      </c>
      <c r="G1516" s="9">
        <v>11</v>
      </c>
      <c r="H1516" s="5" t="s">
        <v>20</v>
      </c>
      <c r="I1516" s="5" t="s">
        <v>3896</v>
      </c>
      <c r="J1516" s="12" t="str">
        <f>HYPERLINK("https://www.boe.es/gazeta/dias/1807/01/02/pdfs/GMD-1807-1.pdf#page=11","Abrir facsímil")</f>
        <v>Abrir facsímil</v>
      </c>
      <c r="K1516" s="15" t="s">
        <v>22</v>
      </c>
    </row>
    <row r="1517" spans="1:11" ht="42" customHeight="1">
      <c r="A1517" s="4" t="s">
        <v>3897</v>
      </c>
      <c r="B1517" s="5" t="s">
        <v>3898</v>
      </c>
      <c r="C1517" s="5" t="s">
        <v>28</v>
      </c>
      <c r="D1517" s="5" t="s">
        <v>29</v>
      </c>
      <c r="E1517" s="5" t="s">
        <v>46</v>
      </c>
      <c r="F1517" s="9">
        <v>78</v>
      </c>
      <c r="G1517" s="9">
        <v>904</v>
      </c>
      <c r="H1517" s="5" t="s">
        <v>20</v>
      </c>
      <c r="I1517" s="5" t="s">
        <v>3899</v>
      </c>
      <c r="J1517" s="12" t="str">
        <f>HYPERLINK("https://www.boe.es/gazeta/dias/1807/09/01/pdfs/GMD-1807-78.pdf#page=8","Abrir facsímil")</f>
        <v>Abrir facsímil</v>
      </c>
      <c r="K1517" s="15" t="s">
        <v>22</v>
      </c>
    </row>
    <row r="1518" spans="1:11" ht="42" customHeight="1">
      <c r="A1518" s="4" t="s">
        <v>3900</v>
      </c>
      <c r="B1518" s="5" t="s">
        <v>3901</v>
      </c>
      <c r="C1518" s="5" t="s">
        <v>34</v>
      </c>
      <c r="D1518" s="5" t="s">
        <v>35</v>
      </c>
      <c r="E1518" s="5" t="s">
        <v>464</v>
      </c>
      <c r="F1518" s="9">
        <v>18</v>
      </c>
      <c r="G1518" s="9">
        <v>213</v>
      </c>
      <c r="H1518" s="5" t="s">
        <v>20</v>
      </c>
      <c r="I1518" s="5" t="s">
        <v>3902</v>
      </c>
      <c r="J1518" s="12" t="str">
        <f>HYPERLINK("https://www.boe.es/gazeta/dias/1807/02/24/pdfs/GMD-1807-18.pdf#page=13","Abrir facsímil")</f>
        <v>Abrir facsímil</v>
      </c>
      <c r="K1518" s="15" t="s">
        <v>22</v>
      </c>
    </row>
    <row r="1519" spans="1:11" ht="42" customHeight="1">
      <c r="A1519" s="4" t="s">
        <v>3903</v>
      </c>
      <c r="B1519" s="5" t="s">
        <v>3904</v>
      </c>
      <c r="C1519" s="5" t="s">
        <v>34</v>
      </c>
      <c r="D1519" s="5" t="s">
        <v>35</v>
      </c>
      <c r="E1519" s="5" t="s">
        <v>390</v>
      </c>
      <c r="F1519" s="9">
        <v>24</v>
      </c>
      <c r="G1519" s="9">
        <v>287</v>
      </c>
      <c r="H1519" s="5" t="s">
        <v>20</v>
      </c>
      <c r="I1519" s="5" t="s">
        <v>3905</v>
      </c>
      <c r="J1519" s="12" t="str">
        <f>HYPERLINK("https://www.boe.es/gazeta/dias/1807/03/13/pdfs/GMD-1807-24.pdf#page=11","Abrir facsímil")</f>
        <v>Abrir facsímil</v>
      </c>
      <c r="K1519" s="15" t="s">
        <v>22</v>
      </c>
    </row>
    <row r="1520" spans="1:11" ht="42" customHeight="1">
      <c r="A1520" s="4" t="s">
        <v>3906</v>
      </c>
      <c r="B1520" s="5" t="s">
        <v>3907</v>
      </c>
      <c r="C1520" s="5" t="s">
        <v>34</v>
      </c>
      <c r="D1520" s="5" t="s">
        <v>35</v>
      </c>
      <c r="E1520" s="5" t="s">
        <v>615</v>
      </c>
      <c r="F1520" s="9" t="s">
        <v>616</v>
      </c>
      <c r="G1520" s="9">
        <v>999</v>
      </c>
      <c r="H1520" s="5" t="s">
        <v>20</v>
      </c>
      <c r="I1520" s="5" t="s">
        <v>3908</v>
      </c>
      <c r="J1520" s="12" t="str">
        <f>HYPERLINK("https://www.boe.es/gazeta/dias/1807/09/27/pdfs/GMD-1807-86E.pdf#page=3","Abrir facsímil")</f>
        <v>Abrir facsímil</v>
      </c>
      <c r="K1520" s="15" t="s">
        <v>22</v>
      </c>
    </row>
    <row r="1521" spans="1:11" ht="42" customHeight="1">
      <c r="A1521" s="4" t="s">
        <v>3909</v>
      </c>
      <c r="B1521" s="5" t="s">
        <v>3910</v>
      </c>
      <c r="C1521" s="5" t="s">
        <v>17</v>
      </c>
      <c r="D1521" s="5" t="s">
        <v>18</v>
      </c>
      <c r="E1521" s="5" t="s">
        <v>422</v>
      </c>
      <c r="F1521" s="9">
        <v>33</v>
      </c>
      <c r="G1521" s="9">
        <v>394</v>
      </c>
      <c r="H1521" s="5" t="s">
        <v>20</v>
      </c>
      <c r="I1521" s="5" t="s">
        <v>3911</v>
      </c>
      <c r="J1521" s="12" t="str">
        <f>HYPERLINK("https://www.boe.es/gazeta/dias/1807/04/14/pdfs/GMD-1807-33.pdf#page=10","Abrir facsímil")</f>
        <v>Abrir facsímil</v>
      </c>
      <c r="K1521" s="15" t="s">
        <v>22</v>
      </c>
    </row>
    <row r="1522" spans="1:11" ht="42" customHeight="1">
      <c r="A1522" s="4" t="s">
        <v>3912</v>
      </c>
      <c r="B1522" s="5" t="s">
        <v>3912</v>
      </c>
      <c r="C1522" s="5" t="s">
        <v>49</v>
      </c>
      <c r="D1522" s="5" t="s">
        <v>50</v>
      </c>
      <c r="E1522" s="5" t="s">
        <v>505</v>
      </c>
      <c r="F1522" s="9">
        <v>47</v>
      </c>
      <c r="G1522" s="9">
        <v>556</v>
      </c>
      <c r="H1522" s="5" t="s">
        <v>20</v>
      </c>
      <c r="I1522" s="5" t="s">
        <v>3913</v>
      </c>
      <c r="J1522" s="12" t="str">
        <f>HYPERLINK("https://www.boe.es/gazeta/dias/1807/06/02/pdfs/GMD-1807-47.pdf#page=2","Abrir facsímil")</f>
        <v>Abrir facsímil</v>
      </c>
      <c r="K1522" s="15" t="s">
        <v>22</v>
      </c>
    </row>
    <row r="1523" spans="1:11" ht="42" customHeight="1">
      <c r="A1523" s="4" t="s">
        <v>3914</v>
      </c>
      <c r="B1523" s="5" t="s">
        <v>3915</v>
      </c>
      <c r="C1523" s="5" t="s">
        <v>34</v>
      </c>
      <c r="D1523" s="5" t="s">
        <v>35</v>
      </c>
      <c r="E1523" s="5" t="s">
        <v>176</v>
      </c>
      <c r="F1523" s="9">
        <v>17</v>
      </c>
      <c r="G1523" s="9">
        <v>191</v>
      </c>
      <c r="H1523" s="5" t="s">
        <v>20</v>
      </c>
      <c r="I1523" s="5" t="s">
        <v>3916</v>
      </c>
      <c r="J1523" s="12" t="str">
        <f>HYPERLINK("https://www.boe.es/gazeta/dias/1807/02/20/pdfs/GMD-1807-17.pdf#page=3","Abrir facsímil")</f>
        <v>Abrir facsímil</v>
      </c>
      <c r="K1523" s="15" t="s">
        <v>22</v>
      </c>
    </row>
    <row r="1524" spans="1:11" ht="42" customHeight="1">
      <c r="A1524" s="4" t="s">
        <v>3917</v>
      </c>
      <c r="B1524" s="5" t="s">
        <v>3918</v>
      </c>
      <c r="C1524" s="5" t="s">
        <v>28</v>
      </c>
      <c r="D1524" s="5" t="s">
        <v>29</v>
      </c>
      <c r="E1524" s="5" t="s">
        <v>754</v>
      </c>
      <c r="F1524" s="9">
        <v>103</v>
      </c>
      <c r="G1524" s="9">
        <v>1204</v>
      </c>
      <c r="H1524" s="5" t="s">
        <v>20</v>
      </c>
      <c r="I1524" s="5" t="s">
        <v>3919</v>
      </c>
      <c r="J1524" s="12" t="str">
        <f>HYPERLINK("https://www.boe.es/gazeta/dias/1807/11/20/pdfs/GMD-1807-103.pdf#page=12","Abrir facsímil")</f>
        <v>Abrir facsímil</v>
      </c>
      <c r="K1524" s="15" t="s">
        <v>22</v>
      </c>
    </row>
    <row r="1525" spans="1:11" ht="42" customHeight="1">
      <c r="A1525" s="4" t="s">
        <v>3920</v>
      </c>
      <c r="B1525" s="5" t="s">
        <v>3920</v>
      </c>
      <c r="C1525" s="5" t="s">
        <v>17</v>
      </c>
      <c r="D1525" s="5" t="s">
        <v>18</v>
      </c>
      <c r="E1525" s="5" t="s">
        <v>86</v>
      </c>
      <c r="F1525" s="9">
        <v>12</v>
      </c>
      <c r="G1525" s="9">
        <v>137</v>
      </c>
      <c r="H1525" s="5" t="s">
        <v>20</v>
      </c>
      <c r="I1525" s="5" t="s">
        <v>3921</v>
      </c>
      <c r="J1525" s="12" t="str">
        <f>HYPERLINK("https://www.boe.es/gazeta/dias/1807/02/03/pdfs/GMD-1807-12.pdf#page=9","Abrir facsímil")</f>
        <v>Abrir facsímil</v>
      </c>
      <c r="K1525" s="15" t="s">
        <v>22</v>
      </c>
    </row>
    <row r="1526" spans="1:11" ht="42" customHeight="1">
      <c r="A1526" s="4" t="s">
        <v>3922</v>
      </c>
      <c r="B1526" s="5" t="s">
        <v>3923</v>
      </c>
      <c r="C1526" s="5" t="s">
        <v>34</v>
      </c>
      <c r="D1526" s="5" t="s">
        <v>35</v>
      </c>
      <c r="E1526" s="5" t="s">
        <v>441</v>
      </c>
      <c r="F1526" s="9">
        <v>92</v>
      </c>
      <c r="G1526" s="9">
        <v>1068</v>
      </c>
      <c r="H1526" s="5" t="s">
        <v>20</v>
      </c>
      <c r="I1526" s="5" t="s">
        <v>3924</v>
      </c>
      <c r="J1526" s="12" t="str">
        <f>HYPERLINK("https://www.boe.es/gazeta/dias/1807/10/13/pdfs/GMD-1807-92.pdf#page=8","Abrir facsímil")</f>
        <v>Abrir facsímil</v>
      </c>
      <c r="K1526" s="15" t="s">
        <v>22</v>
      </c>
    </row>
    <row r="1527" spans="1:11" ht="42" customHeight="1">
      <c r="A1527" s="4" t="s">
        <v>3925</v>
      </c>
      <c r="B1527" s="5" t="s">
        <v>3925</v>
      </c>
      <c r="C1527" s="5" t="s">
        <v>17</v>
      </c>
      <c r="D1527" s="5" t="s">
        <v>18</v>
      </c>
      <c r="E1527" s="5" t="s">
        <v>266</v>
      </c>
      <c r="F1527" s="9">
        <v>67</v>
      </c>
      <c r="G1527" s="9">
        <v>775</v>
      </c>
      <c r="H1527" s="5" t="s">
        <v>20</v>
      </c>
      <c r="I1527" s="5" t="s">
        <v>3926</v>
      </c>
      <c r="J1527" s="12" t="str">
        <f>HYPERLINK("https://www.boe.es/gazeta/dias/1807/07/28/pdfs/GMD-1807-67.pdf#page=11","Abrir facsímil")</f>
        <v>Abrir facsímil</v>
      </c>
      <c r="K1527" s="15" t="s">
        <v>22</v>
      </c>
    </row>
    <row r="1528" spans="1:11" ht="42" customHeight="1">
      <c r="A1528" s="4" t="s">
        <v>3927</v>
      </c>
      <c r="B1528" s="5" t="s">
        <v>3927</v>
      </c>
      <c r="C1528" s="5" t="s">
        <v>17</v>
      </c>
      <c r="D1528" s="5" t="s">
        <v>18</v>
      </c>
      <c r="E1528" s="5" t="s">
        <v>221</v>
      </c>
      <c r="F1528" s="9">
        <v>73</v>
      </c>
      <c r="G1528" s="9">
        <v>847</v>
      </c>
      <c r="H1528" s="5" t="s">
        <v>20</v>
      </c>
      <c r="I1528" s="5" t="s">
        <v>3928</v>
      </c>
      <c r="J1528" s="12" t="str">
        <f>HYPERLINK("https://www.boe.es/gazeta/dias/1807/08/14/pdfs/GMD-1807-73.pdf#page=11","Abrir facsímil")</f>
        <v>Abrir facsímil</v>
      </c>
      <c r="K1528" s="15" t="s">
        <v>22</v>
      </c>
    </row>
    <row r="1529" spans="1:11" ht="42" customHeight="1">
      <c r="A1529" s="4" t="s">
        <v>3927</v>
      </c>
      <c r="B1529" s="5" t="s">
        <v>3927</v>
      </c>
      <c r="C1529" s="5" t="s">
        <v>17</v>
      </c>
      <c r="D1529" s="5" t="s">
        <v>18</v>
      </c>
      <c r="E1529" s="5" t="s">
        <v>406</v>
      </c>
      <c r="F1529" s="9">
        <v>82</v>
      </c>
      <c r="G1529" s="9">
        <v>959</v>
      </c>
      <c r="H1529" s="5" t="s">
        <v>20</v>
      </c>
      <c r="I1529" s="5" t="s">
        <v>3929</v>
      </c>
      <c r="J1529" s="12" t="str">
        <f>HYPERLINK("https://www.boe.es/gazeta/dias/1807/09/15/pdfs/GMD-1807-82.pdf#page=11","Abrir facsímil")</f>
        <v>Abrir facsímil</v>
      </c>
      <c r="K1529" s="15" t="s">
        <v>22</v>
      </c>
    </row>
    <row r="1530" spans="1:11" ht="42" customHeight="1">
      <c r="A1530" s="4" t="s">
        <v>3927</v>
      </c>
      <c r="B1530" s="5" t="s">
        <v>3927</v>
      </c>
      <c r="C1530" s="5" t="s">
        <v>34</v>
      </c>
      <c r="D1530" s="5" t="s">
        <v>35</v>
      </c>
      <c r="E1530" s="5" t="s">
        <v>441</v>
      </c>
      <c r="F1530" s="9">
        <v>92</v>
      </c>
      <c r="G1530" s="9">
        <v>1071</v>
      </c>
      <c r="H1530" s="5" t="s">
        <v>20</v>
      </c>
      <c r="I1530" s="5" t="s">
        <v>3930</v>
      </c>
      <c r="J1530" s="12" t="str">
        <f>HYPERLINK("https://www.boe.es/gazeta/dias/1807/10/13/pdfs/GMD-1807-92.pdf#page=11","Abrir facsímil")</f>
        <v>Abrir facsímil</v>
      </c>
      <c r="K1530" s="15" t="s">
        <v>22</v>
      </c>
    </row>
    <row r="1531" spans="1:11" ht="42" customHeight="1">
      <c r="A1531" s="4" t="s">
        <v>3931</v>
      </c>
      <c r="B1531" s="5" t="s">
        <v>3932</v>
      </c>
      <c r="C1531" s="5" t="s">
        <v>34</v>
      </c>
      <c r="D1531" s="5" t="s">
        <v>35</v>
      </c>
      <c r="E1531" s="5" t="s">
        <v>346</v>
      </c>
      <c r="F1531" s="9">
        <v>21</v>
      </c>
      <c r="G1531" s="9">
        <v>238</v>
      </c>
      <c r="H1531" s="5" t="s">
        <v>20</v>
      </c>
      <c r="I1531" s="5" t="s">
        <v>3933</v>
      </c>
      <c r="J1531" s="12" t="str">
        <f>HYPERLINK("https://www.boe.es/gazeta/dias/1807/03/03/pdfs/GMD-1807-21.pdf#page=2","Abrir facsímil")</f>
        <v>Abrir facsímil</v>
      </c>
      <c r="K1531" s="15" t="s">
        <v>22</v>
      </c>
    </row>
    <row r="1532" spans="1:11" ht="42" customHeight="1">
      <c r="A1532" s="4" t="s">
        <v>3934</v>
      </c>
      <c r="B1532" s="5" t="s">
        <v>3935</v>
      </c>
      <c r="C1532" s="5" t="s">
        <v>34</v>
      </c>
      <c r="D1532" s="5" t="s">
        <v>35</v>
      </c>
      <c r="E1532" s="5" t="s">
        <v>120</v>
      </c>
      <c r="F1532" s="9">
        <v>10</v>
      </c>
      <c r="G1532" s="9">
        <v>111</v>
      </c>
      <c r="H1532" s="5" t="s">
        <v>20</v>
      </c>
      <c r="I1532" s="5" t="s">
        <v>3936</v>
      </c>
      <c r="J1532" s="12" t="str">
        <f>HYPERLINK("https://www.boe.es/gazeta/dias/1807/01/27/pdfs/GMD-1807-10.pdf#page=7","Abrir facsímil")</f>
        <v>Abrir facsímil</v>
      </c>
      <c r="K1532" s="15" t="s">
        <v>22</v>
      </c>
    </row>
    <row r="1533" spans="1:11" ht="42" customHeight="1">
      <c r="A1533" s="4" t="s">
        <v>3937</v>
      </c>
      <c r="B1533" s="5" t="s">
        <v>3937</v>
      </c>
      <c r="C1533" s="5" t="s">
        <v>28</v>
      </c>
      <c r="D1533" s="5" t="s">
        <v>29</v>
      </c>
      <c r="E1533" s="5" t="s">
        <v>40</v>
      </c>
      <c r="F1533" s="9">
        <v>26</v>
      </c>
      <c r="G1533" s="9">
        <v>314</v>
      </c>
      <c r="H1533" s="5" t="s">
        <v>20</v>
      </c>
      <c r="I1533" s="5" t="s">
        <v>3938</v>
      </c>
      <c r="J1533" s="12" t="str">
        <f>HYPERLINK("https://www.boe.es/gazeta/dias/1807/03/20/pdfs/GMD-1807-26.pdf#page=10","Abrir facsímil")</f>
        <v>Abrir facsímil</v>
      </c>
      <c r="K1533" s="15" t="s">
        <v>22</v>
      </c>
    </row>
    <row r="1534" spans="1:11" ht="42" customHeight="1">
      <c r="A1534" s="4" t="s">
        <v>3939</v>
      </c>
      <c r="B1534" s="5" t="s">
        <v>3940</v>
      </c>
      <c r="C1534" s="5" t="s">
        <v>49</v>
      </c>
      <c r="D1534" s="5" t="s">
        <v>50</v>
      </c>
      <c r="E1534" s="5" t="s">
        <v>111</v>
      </c>
      <c r="F1534" s="9">
        <v>90</v>
      </c>
      <c r="G1534" s="9">
        <v>1036</v>
      </c>
      <c r="H1534" s="5" t="s">
        <v>20</v>
      </c>
      <c r="I1534" s="5" t="s">
        <v>3941</v>
      </c>
      <c r="J1534" s="12" t="str">
        <f>HYPERLINK("https://www.boe.es/gazeta/dias/1807/10/06/pdfs/GMD-1807-90.pdf#page=4","Abrir facsímil")</f>
        <v>Abrir facsímil</v>
      </c>
      <c r="K1534" s="15" t="s">
        <v>22</v>
      </c>
    </row>
    <row r="1535" spans="1:11" ht="42" customHeight="1">
      <c r="A1535" s="4" t="s">
        <v>3942</v>
      </c>
      <c r="B1535" s="5" t="s">
        <v>3943</v>
      </c>
      <c r="C1535" s="5" t="s">
        <v>34</v>
      </c>
      <c r="D1535" s="5" t="s">
        <v>35</v>
      </c>
      <c r="E1535" s="5" t="s">
        <v>111</v>
      </c>
      <c r="F1535" s="9">
        <v>90</v>
      </c>
      <c r="G1535" s="9">
        <v>1044</v>
      </c>
      <c r="H1535" s="5" t="s">
        <v>20</v>
      </c>
      <c r="I1535" s="5" t="s">
        <v>3944</v>
      </c>
      <c r="J1535" s="12" t="str">
        <f>HYPERLINK("https://www.boe.es/gazeta/dias/1807/10/06/pdfs/GMD-1807-90.pdf#page=12","Abrir facsímil")</f>
        <v>Abrir facsímil</v>
      </c>
      <c r="K1535" s="15" t="s">
        <v>22</v>
      </c>
    </row>
    <row r="1536" spans="1:11" ht="42" customHeight="1">
      <c r="A1536" s="4" t="s">
        <v>3945</v>
      </c>
      <c r="B1536" s="5" t="s">
        <v>3946</v>
      </c>
      <c r="C1536" s="5" t="s">
        <v>34</v>
      </c>
      <c r="D1536" s="5" t="s">
        <v>35</v>
      </c>
      <c r="E1536" s="5" t="s">
        <v>106</v>
      </c>
      <c r="F1536" s="9">
        <v>39</v>
      </c>
      <c r="G1536" s="9">
        <v>465</v>
      </c>
      <c r="H1536" s="5" t="s">
        <v>20</v>
      </c>
      <c r="I1536" s="5" t="s">
        <v>3947</v>
      </c>
      <c r="J1536" s="12" t="str">
        <f>HYPERLINK("https://www.boe.es/gazeta/dias/1807/05/05/pdfs/GMD-1807-39.pdf#page=7","Abrir facsímil")</f>
        <v>Abrir facsímil</v>
      </c>
      <c r="K1536" s="15" t="s">
        <v>22</v>
      </c>
    </row>
    <row r="1537" spans="1:11" ht="42" customHeight="1">
      <c r="A1537" s="4" t="s">
        <v>3948</v>
      </c>
      <c r="B1537" s="5" t="s">
        <v>3948</v>
      </c>
      <c r="C1537" s="5" t="s">
        <v>17</v>
      </c>
      <c r="D1537" s="5" t="s">
        <v>18</v>
      </c>
      <c r="E1537" s="5" t="s">
        <v>478</v>
      </c>
      <c r="F1537" s="9">
        <v>30</v>
      </c>
      <c r="G1537" s="9">
        <v>358</v>
      </c>
      <c r="H1537" s="5" t="s">
        <v>20</v>
      </c>
      <c r="I1537" s="5" t="s">
        <v>3949</v>
      </c>
      <c r="J1537" s="12" t="str">
        <f>HYPERLINK("https://www.boe.es/gazeta/dias/1807/04/03/pdfs/GMD-1807-30.pdf#page=10","Abrir facsímil")</f>
        <v>Abrir facsímil</v>
      </c>
      <c r="K1537" s="15" t="s">
        <v>22</v>
      </c>
    </row>
    <row r="1538" spans="1:11" ht="42" customHeight="1">
      <c r="A1538" s="4" t="s">
        <v>3950</v>
      </c>
      <c r="B1538" s="5" t="s">
        <v>3950</v>
      </c>
      <c r="C1538" s="5" t="s">
        <v>34</v>
      </c>
      <c r="D1538" s="5" t="s">
        <v>35</v>
      </c>
      <c r="E1538" s="5" t="s">
        <v>98</v>
      </c>
      <c r="F1538" s="9">
        <v>34</v>
      </c>
      <c r="G1538" s="9">
        <v>406</v>
      </c>
      <c r="H1538" s="5" t="s">
        <v>20</v>
      </c>
      <c r="I1538" s="5" t="s">
        <v>3951</v>
      </c>
      <c r="J1538" s="12" t="str">
        <f>HYPERLINK("https://www.boe.es/gazeta/dias/1807/04/17/pdfs/GMD-1807-34.pdf#page=10","Abrir facsímil")</f>
        <v>Abrir facsímil</v>
      </c>
      <c r="K1538" s="15" t="s">
        <v>22</v>
      </c>
    </row>
    <row r="1539" spans="1:11" ht="42" customHeight="1">
      <c r="A1539" s="4" t="s">
        <v>3952</v>
      </c>
      <c r="B1539" s="5" t="s">
        <v>3952</v>
      </c>
      <c r="C1539" s="5" t="s">
        <v>17</v>
      </c>
      <c r="D1539" s="5" t="s">
        <v>18</v>
      </c>
      <c r="E1539" s="5" t="s">
        <v>1076</v>
      </c>
      <c r="F1539" s="9">
        <v>96</v>
      </c>
      <c r="G1539" s="9">
        <v>1117</v>
      </c>
      <c r="H1539" s="5" t="s">
        <v>20</v>
      </c>
      <c r="I1539" s="5" t="s">
        <v>3953</v>
      </c>
      <c r="J1539" s="12" t="str">
        <f>HYPERLINK("https://www.boe.es/gazeta/dias/1807/10/27/pdfs/GMD-1807-96.pdf#page=9","Abrir facsímil")</f>
        <v>Abrir facsímil</v>
      </c>
      <c r="K1539" s="15" t="s">
        <v>22</v>
      </c>
    </row>
    <row r="1540" spans="1:11" ht="42" customHeight="1">
      <c r="A1540" s="4" t="s">
        <v>3954</v>
      </c>
      <c r="B1540" s="5" t="s">
        <v>3954</v>
      </c>
      <c r="C1540" s="5" t="s">
        <v>28</v>
      </c>
      <c r="D1540" s="5" t="s">
        <v>29</v>
      </c>
      <c r="E1540" s="5" t="s">
        <v>91</v>
      </c>
      <c r="F1540" s="9">
        <v>109</v>
      </c>
      <c r="G1540" s="9">
        <v>1273</v>
      </c>
      <c r="H1540" s="5" t="s">
        <v>20</v>
      </c>
      <c r="I1540" s="5" t="s">
        <v>3955</v>
      </c>
      <c r="J1540" s="12" t="str">
        <f>HYPERLINK("https://www.boe.es/gazeta/dias/1807/12/08/pdfs/GMD-1807-109.pdf#page=9","Abrir facsímil")</f>
        <v>Abrir facsímil</v>
      </c>
      <c r="K1540" s="15" t="s">
        <v>22</v>
      </c>
    </row>
    <row r="1541" spans="1:11" ht="42" customHeight="1">
      <c r="A1541" s="4" t="s">
        <v>3956</v>
      </c>
      <c r="B1541" s="5" t="s">
        <v>3956</v>
      </c>
      <c r="C1541" s="5" t="s">
        <v>28</v>
      </c>
      <c r="D1541" s="5" t="s">
        <v>29</v>
      </c>
      <c r="E1541" s="5" t="s">
        <v>666</v>
      </c>
      <c r="F1541" s="9">
        <v>43</v>
      </c>
      <c r="G1541" s="9">
        <v>515</v>
      </c>
      <c r="H1541" s="5" t="s">
        <v>20</v>
      </c>
      <c r="I1541" s="5" t="s">
        <v>3957</v>
      </c>
      <c r="J1541" s="12" t="str">
        <f>HYPERLINK("https://www.boe.es/gazeta/dias/1807/05/19/pdfs/GMD-1807-43.pdf#page=9","Abrir facsímil")</f>
        <v>Abrir facsímil</v>
      </c>
      <c r="K1541" s="15" t="s">
        <v>22</v>
      </c>
    </row>
    <row r="1542" spans="1:11" ht="42" customHeight="1">
      <c r="A1542" s="4" t="s">
        <v>3958</v>
      </c>
      <c r="B1542" s="5" t="s">
        <v>3958</v>
      </c>
      <c r="C1542" s="5" t="s">
        <v>89</v>
      </c>
      <c r="D1542" s="5" t="s">
        <v>90</v>
      </c>
      <c r="E1542" s="5" t="s">
        <v>309</v>
      </c>
      <c r="F1542" s="9">
        <v>107</v>
      </c>
      <c r="G1542" s="9">
        <v>1250</v>
      </c>
      <c r="H1542" s="5" t="s">
        <v>20</v>
      </c>
      <c r="I1542" s="5" t="s">
        <v>3959</v>
      </c>
      <c r="J1542" s="12" t="str">
        <f>HYPERLINK("https://www.boe.es/gazeta/dias/1807/12/01/pdfs/GMD-1807-107.pdf#page=10","Abrir facsímil")</f>
        <v>Abrir facsímil</v>
      </c>
      <c r="K1542" s="15" t="s">
        <v>22</v>
      </c>
    </row>
    <row r="1543" spans="1:11" ht="42" customHeight="1">
      <c r="A1543" s="4" t="s">
        <v>3960</v>
      </c>
      <c r="B1543" s="5" t="s">
        <v>3960</v>
      </c>
      <c r="C1543" s="5" t="s">
        <v>28</v>
      </c>
      <c r="D1543" s="5" t="s">
        <v>29</v>
      </c>
      <c r="E1543" s="5" t="s">
        <v>42</v>
      </c>
      <c r="F1543" s="9">
        <v>31</v>
      </c>
      <c r="G1543" s="9">
        <v>367</v>
      </c>
      <c r="H1543" s="5" t="s">
        <v>20</v>
      </c>
      <c r="I1543" s="5" t="s">
        <v>3961</v>
      </c>
      <c r="J1543" s="12" t="str">
        <f>HYPERLINK("https://www.boe.es/gazeta/dias/1807/04/07/pdfs/GMD-1807-31.pdf#page=7","Abrir facsímil")</f>
        <v>Abrir facsímil</v>
      </c>
      <c r="K1543" s="15" t="s">
        <v>22</v>
      </c>
    </row>
    <row r="1544" spans="1:11" ht="42" customHeight="1">
      <c r="A1544" s="4" t="s">
        <v>3960</v>
      </c>
      <c r="B1544" s="5" t="s">
        <v>3960</v>
      </c>
      <c r="C1544" s="5" t="s">
        <v>28</v>
      </c>
      <c r="D1544" s="5" t="s">
        <v>29</v>
      </c>
      <c r="E1544" s="5" t="s">
        <v>186</v>
      </c>
      <c r="F1544" s="9">
        <v>72</v>
      </c>
      <c r="G1544" s="9">
        <v>828</v>
      </c>
      <c r="H1544" s="5" t="s">
        <v>20</v>
      </c>
      <c r="I1544" s="5" t="s">
        <v>3962</v>
      </c>
      <c r="J1544" s="12" t="str">
        <f>HYPERLINK("https://www.boe.es/gazeta/dias/1807/08/11/pdfs/GMD-1807-72.pdf#page=8","Abrir facsímil")</f>
        <v>Abrir facsímil</v>
      </c>
      <c r="K1544" s="15" t="s">
        <v>22</v>
      </c>
    </row>
    <row r="1545" spans="1:11" ht="42" customHeight="1">
      <c r="A1545" s="4" t="s">
        <v>3963</v>
      </c>
      <c r="B1545" s="5" t="s">
        <v>3963</v>
      </c>
      <c r="C1545" s="5" t="s">
        <v>17</v>
      </c>
      <c r="D1545" s="5" t="s">
        <v>18</v>
      </c>
      <c r="E1545" s="5" t="s">
        <v>406</v>
      </c>
      <c r="F1545" s="9">
        <v>82</v>
      </c>
      <c r="G1545" s="9">
        <v>955</v>
      </c>
      <c r="H1545" s="5" t="s">
        <v>20</v>
      </c>
      <c r="I1545" s="5" t="s">
        <v>3964</v>
      </c>
      <c r="J1545" s="12" t="str">
        <f>HYPERLINK("https://www.boe.es/gazeta/dias/1807/09/15/pdfs/GMD-1807-82.pdf#page=7","Abrir facsímil")</f>
        <v>Abrir facsímil</v>
      </c>
      <c r="K1545" s="15" t="s">
        <v>22</v>
      </c>
    </row>
    <row r="1546" spans="1:11" ht="42" customHeight="1">
      <c r="A1546" s="4" t="s">
        <v>3965</v>
      </c>
      <c r="B1546" s="5" t="s">
        <v>3965</v>
      </c>
      <c r="C1546" s="5" t="s">
        <v>34</v>
      </c>
      <c r="D1546" s="5" t="s">
        <v>35</v>
      </c>
      <c r="E1546" s="5" t="s">
        <v>98</v>
      </c>
      <c r="F1546" s="9">
        <v>34</v>
      </c>
      <c r="G1546" s="9">
        <v>406</v>
      </c>
      <c r="H1546" s="5" t="s">
        <v>20</v>
      </c>
      <c r="I1546" s="5" t="s">
        <v>3966</v>
      </c>
      <c r="J1546" s="12" t="str">
        <f>HYPERLINK("https://www.boe.es/gazeta/dias/1807/04/17/pdfs/GMD-1807-34.pdf#page=10","Abrir facsímil")</f>
        <v>Abrir facsímil</v>
      </c>
      <c r="K1546" s="15" t="s">
        <v>22</v>
      </c>
    </row>
    <row r="1547" spans="1:11" ht="42" customHeight="1">
      <c r="A1547" s="4" t="s">
        <v>3967</v>
      </c>
      <c r="B1547" s="5" t="s">
        <v>3967</v>
      </c>
      <c r="C1547" s="5" t="s">
        <v>34</v>
      </c>
      <c r="D1547" s="5" t="s">
        <v>35</v>
      </c>
      <c r="E1547" s="5" t="s">
        <v>106</v>
      </c>
      <c r="F1547" s="9">
        <v>39</v>
      </c>
      <c r="G1547" s="9">
        <v>466</v>
      </c>
      <c r="H1547" s="5" t="s">
        <v>20</v>
      </c>
      <c r="I1547" s="5" t="s">
        <v>3968</v>
      </c>
      <c r="J1547" s="12" t="str">
        <f>HYPERLINK("https://www.boe.es/gazeta/dias/1807/05/05/pdfs/GMD-1807-39.pdf#page=8","Abrir facsímil")</f>
        <v>Abrir facsímil</v>
      </c>
      <c r="K1547" s="15" t="s">
        <v>22</v>
      </c>
    </row>
    <row r="1548" spans="1:11" ht="42" customHeight="1">
      <c r="A1548" s="4" t="s">
        <v>3969</v>
      </c>
      <c r="B1548" s="5" t="s">
        <v>3969</v>
      </c>
      <c r="C1548" s="5" t="s">
        <v>28</v>
      </c>
      <c r="D1548" s="5" t="s">
        <v>29</v>
      </c>
      <c r="E1548" s="5" t="s">
        <v>62</v>
      </c>
      <c r="F1548" s="9">
        <v>68</v>
      </c>
      <c r="G1548" s="9">
        <v>784</v>
      </c>
      <c r="H1548" s="5" t="s">
        <v>20</v>
      </c>
      <c r="I1548" s="5" t="s">
        <v>3970</v>
      </c>
      <c r="J1548" s="12" t="str">
        <f>HYPERLINK("https://www.boe.es/gazeta/dias/1807/07/31/pdfs/GMD-1807-68.pdf#page=8","Abrir facsímil")</f>
        <v>Abrir facsímil</v>
      </c>
      <c r="K1548" s="15" t="s">
        <v>22</v>
      </c>
    </row>
    <row r="1549" spans="1:11" ht="42" customHeight="1">
      <c r="A1549" s="4" t="s">
        <v>3971</v>
      </c>
      <c r="B1549" s="5" t="s">
        <v>3971</v>
      </c>
      <c r="C1549" s="5" t="s">
        <v>34</v>
      </c>
      <c r="D1549" s="5" t="s">
        <v>35</v>
      </c>
      <c r="E1549" s="5" t="s">
        <v>215</v>
      </c>
      <c r="F1549" s="9">
        <v>5</v>
      </c>
      <c r="G1549" s="9">
        <v>51</v>
      </c>
      <c r="H1549" s="5" t="s">
        <v>20</v>
      </c>
      <c r="I1549" s="5" t="s">
        <v>3972</v>
      </c>
      <c r="J1549" s="12" t="str">
        <f>HYPERLINK("https://www.boe.es/gazeta/dias/1807/01/16/pdfs/GMD-1807-5.pdf#page=7","Abrir facsímil")</f>
        <v>Abrir facsímil</v>
      </c>
      <c r="K1549" s="15" t="s">
        <v>22</v>
      </c>
    </row>
    <row r="1550" spans="1:11" ht="42" customHeight="1">
      <c r="A1550" s="4" t="s">
        <v>3973</v>
      </c>
      <c r="B1550" s="5" t="s">
        <v>3973</v>
      </c>
      <c r="C1550" s="5" t="s">
        <v>28</v>
      </c>
      <c r="D1550" s="5" t="s">
        <v>29</v>
      </c>
      <c r="E1550" s="5" t="s">
        <v>190</v>
      </c>
      <c r="F1550" s="9">
        <v>37</v>
      </c>
      <c r="G1550" s="9">
        <v>441</v>
      </c>
      <c r="H1550" s="5" t="s">
        <v>20</v>
      </c>
      <c r="I1550" s="5" t="s">
        <v>3974</v>
      </c>
      <c r="J1550" s="12" t="str">
        <f>HYPERLINK("https://www.boe.es/gazeta/dias/1807/04/28/pdfs/GMD-1807-37.pdf#page=9","Abrir facsímil")</f>
        <v>Abrir facsímil</v>
      </c>
      <c r="K1550" s="15" t="s">
        <v>22</v>
      </c>
    </row>
    <row r="1551" spans="1:11" ht="42" customHeight="1">
      <c r="A1551" s="4" t="s">
        <v>3973</v>
      </c>
      <c r="B1551" s="5" t="s">
        <v>3973</v>
      </c>
      <c r="C1551" s="5" t="s">
        <v>28</v>
      </c>
      <c r="D1551" s="5" t="s">
        <v>29</v>
      </c>
      <c r="E1551" s="5" t="s">
        <v>149</v>
      </c>
      <c r="F1551" s="9">
        <v>38</v>
      </c>
      <c r="G1551" s="9">
        <v>451</v>
      </c>
      <c r="H1551" s="5" t="s">
        <v>20</v>
      </c>
      <c r="I1551" s="5" t="s">
        <v>3975</v>
      </c>
      <c r="J1551" s="12" t="str">
        <f>HYPERLINK("https://www.boe.es/gazeta/dias/1807/05/01/pdfs/GMD-1807-38.pdf#page=7","Abrir facsímil")</f>
        <v>Abrir facsímil</v>
      </c>
      <c r="K1551" s="15" t="s">
        <v>22</v>
      </c>
    </row>
    <row r="1552" spans="1:11" ht="42" customHeight="1">
      <c r="A1552" s="4" t="s">
        <v>3976</v>
      </c>
      <c r="B1552" s="5" t="s">
        <v>3976</v>
      </c>
      <c r="C1552" s="5" t="s">
        <v>28</v>
      </c>
      <c r="D1552" s="5" t="s">
        <v>29</v>
      </c>
      <c r="E1552" s="5" t="s">
        <v>156</v>
      </c>
      <c r="F1552" s="9">
        <v>74</v>
      </c>
      <c r="G1552" s="9">
        <v>855</v>
      </c>
      <c r="H1552" s="5" t="s">
        <v>20</v>
      </c>
      <c r="I1552" s="5" t="s">
        <v>3977</v>
      </c>
      <c r="J1552" s="12" t="str">
        <f>HYPERLINK("https://www.boe.es/gazeta/dias/1807/08/18/pdfs/GMD-1807-74.pdf#page=7","Abrir facsímil")</f>
        <v>Abrir facsímil</v>
      </c>
      <c r="K1552" s="15" t="s">
        <v>22</v>
      </c>
    </row>
    <row r="1553" spans="1:11" ht="42" customHeight="1">
      <c r="A1553" s="4" t="s">
        <v>3978</v>
      </c>
      <c r="B1553" s="5" t="s">
        <v>3979</v>
      </c>
      <c r="C1553" s="5" t="s">
        <v>49</v>
      </c>
      <c r="D1553" s="5" t="s">
        <v>50</v>
      </c>
      <c r="E1553" s="5" t="s">
        <v>208</v>
      </c>
      <c r="F1553" s="9">
        <v>42</v>
      </c>
      <c r="G1553" s="9">
        <v>498</v>
      </c>
      <c r="H1553" s="5" t="s">
        <v>20</v>
      </c>
      <c r="I1553" s="5" t="s">
        <v>3980</v>
      </c>
      <c r="J1553" s="12" t="str">
        <f>HYPERLINK("https://www.boe.es/gazeta/dias/1807/05/15/pdfs/GMD-1807-42.pdf#page=4","Abrir facsímil")</f>
        <v>Abrir facsímil</v>
      </c>
      <c r="K1553" s="15" t="s">
        <v>22</v>
      </c>
    </row>
    <row r="1554" spans="1:11" ht="42" customHeight="1">
      <c r="A1554" s="4" t="s">
        <v>3978</v>
      </c>
      <c r="B1554" s="5" t="s">
        <v>3979</v>
      </c>
      <c r="C1554" s="5" t="s">
        <v>28</v>
      </c>
      <c r="D1554" s="5" t="s">
        <v>29</v>
      </c>
      <c r="E1554" s="5" t="s">
        <v>208</v>
      </c>
      <c r="F1554" s="9">
        <v>42</v>
      </c>
      <c r="G1554" s="9">
        <v>501</v>
      </c>
      <c r="H1554" s="5" t="s">
        <v>20</v>
      </c>
      <c r="I1554" s="5" t="s">
        <v>3981</v>
      </c>
      <c r="J1554" s="12" t="str">
        <f>HYPERLINK("https://www.boe.es/gazeta/dias/1807/05/15/pdfs/GMD-1807-42.pdf#page=7","Abrir facsímil")</f>
        <v>Abrir facsímil</v>
      </c>
      <c r="K1554" s="15" t="s">
        <v>22</v>
      </c>
    </row>
    <row r="1555" spans="1:11" ht="42" customHeight="1">
      <c r="A1555" s="4" t="s">
        <v>3978</v>
      </c>
      <c r="B1555" s="5" t="s">
        <v>3979</v>
      </c>
      <c r="C1555" s="5" t="s">
        <v>49</v>
      </c>
      <c r="D1555" s="5" t="s">
        <v>50</v>
      </c>
      <c r="E1555" s="5" t="s">
        <v>51</v>
      </c>
      <c r="F1555" s="9">
        <v>62</v>
      </c>
      <c r="G1555" s="9">
        <v>731</v>
      </c>
      <c r="H1555" s="5" t="s">
        <v>20</v>
      </c>
      <c r="I1555" s="5" t="s">
        <v>3982</v>
      </c>
      <c r="J1555" s="12" t="str">
        <f>HYPERLINK("https://www.boe.es/gazeta/dias/1807/07/17/pdfs/GMD-1807-62.pdf#page=5","Abrir facsímil")</f>
        <v>Abrir facsímil</v>
      </c>
      <c r="K1555" s="15" t="s">
        <v>22</v>
      </c>
    </row>
    <row r="1556" spans="1:11" ht="42" customHeight="1">
      <c r="A1556" s="4" t="s">
        <v>3983</v>
      </c>
      <c r="B1556" s="5" t="s">
        <v>3983</v>
      </c>
      <c r="C1556" s="5" t="s">
        <v>28</v>
      </c>
      <c r="D1556" s="5" t="s">
        <v>29</v>
      </c>
      <c r="E1556" s="5" t="s">
        <v>123</v>
      </c>
      <c r="F1556" s="9">
        <v>70</v>
      </c>
      <c r="G1556" s="9">
        <v>806</v>
      </c>
      <c r="H1556" s="5" t="s">
        <v>20</v>
      </c>
      <c r="I1556" s="5" t="s">
        <v>3984</v>
      </c>
      <c r="J1556" s="12" t="str">
        <f>HYPERLINK("https://www.boe.es/gazeta/dias/1807/08/04/pdfs/GMD-1807-70.pdf#page=10","Abrir facsímil")</f>
        <v>Abrir facsímil</v>
      </c>
      <c r="K1556" s="15" t="s">
        <v>22</v>
      </c>
    </row>
    <row r="1557" spans="1:11" ht="42" customHeight="1">
      <c r="A1557" s="4" t="s">
        <v>3985</v>
      </c>
      <c r="B1557" s="5" t="s">
        <v>3986</v>
      </c>
      <c r="C1557" s="5" t="s">
        <v>34</v>
      </c>
      <c r="D1557" s="5" t="s">
        <v>35</v>
      </c>
      <c r="E1557" s="5" t="s">
        <v>139</v>
      </c>
      <c r="F1557" s="9">
        <v>110</v>
      </c>
      <c r="G1557" s="9">
        <v>1285</v>
      </c>
      <c r="H1557" s="5" t="s">
        <v>20</v>
      </c>
      <c r="I1557" s="5" t="s">
        <v>3987</v>
      </c>
      <c r="J1557" s="12" t="str">
        <f>HYPERLINK("https://www.boe.es/gazeta/dias/1807/12/11/pdfs/GMD-1807-110.pdf#page=9","Abrir facsímil")</f>
        <v>Abrir facsímil</v>
      </c>
      <c r="K1557" s="15" t="s">
        <v>22</v>
      </c>
    </row>
    <row r="1558" spans="1:11" ht="42" customHeight="1">
      <c r="A1558" s="4" t="s">
        <v>3988</v>
      </c>
      <c r="B1558" s="5" t="s">
        <v>3988</v>
      </c>
      <c r="C1558" s="5" t="s">
        <v>34</v>
      </c>
      <c r="D1558" s="5" t="s">
        <v>35</v>
      </c>
      <c r="E1558" s="5" t="s">
        <v>152</v>
      </c>
      <c r="F1558" s="9">
        <v>61</v>
      </c>
      <c r="G1558" s="9">
        <v>720</v>
      </c>
      <c r="H1558" s="5" t="s">
        <v>20</v>
      </c>
      <c r="I1558" s="5" t="s">
        <v>3989</v>
      </c>
      <c r="J1558" s="12" t="str">
        <f>HYPERLINK("https://www.boe.es/gazeta/dias/1807/07/14/pdfs/GMD-1807-61.pdf#page=6","Abrir facsímil")</f>
        <v>Abrir facsímil</v>
      </c>
      <c r="K1558" s="15" t="s">
        <v>22</v>
      </c>
    </row>
    <row r="1559" spans="1:11" ht="42" customHeight="1">
      <c r="A1559" s="4" t="s">
        <v>3990</v>
      </c>
      <c r="B1559" s="5" t="s">
        <v>3990</v>
      </c>
      <c r="C1559" s="5" t="s">
        <v>34</v>
      </c>
      <c r="D1559" s="5" t="s">
        <v>35</v>
      </c>
      <c r="E1559" s="5" t="s">
        <v>51</v>
      </c>
      <c r="F1559" s="9">
        <v>62</v>
      </c>
      <c r="G1559" s="9">
        <v>732</v>
      </c>
      <c r="H1559" s="5" t="s">
        <v>20</v>
      </c>
      <c r="I1559" s="5" t="s">
        <v>3991</v>
      </c>
      <c r="J1559" s="12" t="str">
        <f>HYPERLINK("https://www.boe.es/gazeta/dias/1807/07/17/pdfs/GMD-1807-62.pdf#page=6","Abrir facsímil")</f>
        <v>Abrir facsímil</v>
      </c>
      <c r="K1559" s="15" t="s">
        <v>22</v>
      </c>
    </row>
    <row r="1560" spans="1:11" ht="42" customHeight="1">
      <c r="A1560" s="4" t="s">
        <v>3992</v>
      </c>
      <c r="B1560" s="5" t="s">
        <v>3992</v>
      </c>
      <c r="C1560" s="5" t="s">
        <v>49</v>
      </c>
      <c r="D1560" s="5" t="s">
        <v>50</v>
      </c>
      <c r="E1560" s="5" t="s">
        <v>131</v>
      </c>
      <c r="F1560" s="9">
        <v>28</v>
      </c>
      <c r="G1560" s="9">
        <v>330</v>
      </c>
      <c r="H1560" s="5" t="s">
        <v>20</v>
      </c>
      <c r="I1560" s="5" t="s">
        <v>3993</v>
      </c>
      <c r="J1560" s="12" t="str">
        <f>HYPERLINK("https://www.boe.es/gazeta/dias/1807/03/27/pdfs/GMD-1807-28.pdf#page=2","Abrir facsímil")</f>
        <v>Abrir facsímil</v>
      </c>
      <c r="K1560" s="15" t="s">
        <v>22</v>
      </c>
    </row>
    <row r="1561" spans="1:11" ht="42" customHeight="1">
      <c r="A1561" s="4" t="s">
        <v>3994</v>
      </c>
      <c r="B1561" s="5" t="s">
        <v>3994</v>
      </c>
      <c r="C1561" s="5" t="s">
        <v>34</v>
      </c>
      <c r="D1561" s="5" t="s">
        <v>35</v>
      </c>
      <c r="E1561" s="5" t="s">
        <v>208</v>
      </c>
      <c r="F1561" s="9">
        <v>42</v>
      </c>
      <c r="G1561" s="9">
        <v>496</v>
      </c>
      <c r="H1561" s="5" t="s">
        <v>20</v>
      </c>
      <c r="I1561" s="5" t="s">
        <v>3995</v>
      </c>
      <c r="J1561" s="12" t="str">
        <f>HYPERLINK("https://www.boe.es/gazeta/dias/1807/05/15/pdfs/GMD-1807-42.pdf#page=2","Abrir facsímil")</f>
        <v>Abrir facsímil</v>
      </c>
      <c r="K1561" s="15" t="s">
        <v>22</v>
      </c>
    </row>
    <row r="1562" spans="1:11" ht="42" customHeight="1">
      <c r="A1562" s="4" t="s">
        <v>3996</v>
      </c>
      <c r="B1562" s="5" t="s">
        <v>3996</v>
      </c>
      <c r="C1562" s="5" t="s">
        <v>252</v>
      </c>
      <c r="D1562" s="5" t="s">
        <v>253</v>
      </c>
      <c r="E1562" s="5" t="s">
        <v>534</v>
      </c>
      <c r="F1562" s="9" t="s">
        <v>535</v>
      </c>
      <c r="G1562" s="9">
        <v>103</v>
      </c>
      <c r="H1562" s="5" t="s">
        <v>20</v>
      </c>
      <c r="I1562" s="5" t="s">
        <v>3997</v>
      </c>
      <c r="J1562" s="12" t="str">
        <f>HYPERLINK("https://www.boe.es/gazeta/dias/1807/01/24/pdfs/GMD-1807-9E.pdf#page=7","Abrir facsímil")</f>
        <v>Abrir facsímil</v>
      </c>
      <c r="K1562" s="15" t="s">
        <v>22</v>
      </c>
    </row>
    <row r="1563" spans="1:11" ht="42" customHeight="1">
      <c r="A1563" s="4" t="s">
        <v>3998</v>
      </c>
      <c r="B1563" s="5" t="s">
        <v>3998</v>
      </c>
      <c r="C1563" s="5" t="s">
        <v>28</v>
      </c>
      <c r="D1563" s="5" t="s">
        <v>29</v>
      </c>
      <c r="E1563" s="5" t="s">
        <v>135</v>
      </c>
      <c r="F1563" s="9">
        <v>80</v>
      </c>
      <c r="G1563" s="9">
        <v>932</v>
      </c>
      <c r="H1563" s="5" t="s">
        <v>20</v>
      </c>
      <c r="I1563" s="5" t="s">
        <v>3999</v>
      </c>
      <c r="J1563" s="12" t="str">
        <f>HYPERLINK("https://www.boe.es/gazeta/dias/1807/09/08/pdfs/GMD-1807-80.pdf#page=8","Abrir facsímil")</f>
        <v>Abrir facsímil</v>
      </c>
      <c r="K1563" s="15" t="s">
        <v>22</v>
      </c>
    </row>
    <row r="1564" spans="1:11" ht="42" customHeight="1">
      <c r="A1564" s="4" t="s">
        <v>4000</v>
      </c>
      <c r="B1564" s="5" t="s">
        <v>4001</v>
      </c>
      <c r="C1564" s="5" t="s">
        <v>17</v>
      </c>
      <c r="D1564" s="5" t="s">
        <v>18</v>
      </c>
      <c r="E1564" s="5" t="s">
        <v>471</v>
      </c>
      <c r="F1564" s="9">
        <v>51</v>
      </c>
      <c r="G1564" s="9">
        <v>605</v>
      </c>
      <c r="H1564" s="5" t="s">
        <v>20</v>
      </c>
      <c r="I1564" s="5" t="s">
        <v>4002</v>
      </c>
      <c r="J1564" s="12" t="str">
        <f>HYPERLINK("https://www.boe.es/gazeta/dias/1807/06/16/pdfs/GMD-1807-51.pdf#page=7","Abrir facsímil")</f>
        <v>Abrir facsímil</v>
      </c>
      <c r="K1564" s="15" t="s">
        <v>22</v>
      </c>
    </row>
    <row r="1565" spans="1:11" ht="42" customHeight="1">
      <c r="A1565" s="4" t="s">
        <v>4003</v>
      </c>
      <c r="B1565" s="5" t="s">
        <v>4004</v>
      </c>
      <c r="C1565" s="5" t="s">
        <v>34</v>
      </c>
      <c r="D1565" s="5" t="s">
        <v>35</v>
      </c>
      <c r="E1565" s="5" t="s">
        <v>393</v>
      </c>
      <c r="F1565" s="9">
        <v>15</v>
      </c>
      <c r="G1565" s="9">
        <v>172</v>
      </c>
      <c r="H1565" s="5" t="s">
        <v>20</v>
      </c>
      <c r="I1565" s="5" t="s">
        <v>4005</v>
      </c>
      <c r="J1565" s="12" t="str">
        <f>HYPERLINK("https://www.boe.es/gazeta/dias/1807/02/13/pdfs/GMD-1807-15.pdf#page=8","Abrir facsímil")</f>
        <v>Abrir facsímil</v>
      </c>
      <c r="K1565" s="15" t="s">
        <v>22</v>
      </c>
    </row>
    <row r="1566" spans="1:11" ht="42" customHeight="1">
      <c r="A1566" s="4" t="s">
        <v>4006</v>
      </c>
      <c r="B1566" s="5" t="s">
        <v>4006</v>
      </c>
      <c r="C1566" s="5" t="s">
        <v>24</v>
      </c>
      <c r="D1566" s="5" t="s">
        <v>18</v>
      </c>
      <c r="E1566" s="5" t="s">
        <v>81</v>
      </c>
      <c r="F1566" s="9">
        <v>49</v>
      </c>
      <c r="G1566" s="9">
        <v>586</v>
      </c>
      <c r="H1566" s="5" t="s">
        <v>20</v>
      </c>
      <c r="I1566" s="5" t="s">
        <v>4007</v>
      </c>
      <c r="J1566" s="12" t="str">
        <f>HYPERLINK("https://www.boe.es/gazeta/dias/1807/06/09/pdfs/GMD-1807-49.pdf#page=12","Abrir facsímil")</f>
        <v>Abrir facsímil</v>
      </c>
      <c r="K1566" s="15" t="s">
        <v>22</v>
      </c>
    </row>
    <row r="1567" spans="1:11" ht="42" customHeight="1">
      <c r="A1567" s="4" t="s">
        <v>4008</v>
      </c>
      <c r="B1567" s="5" t="s">
        <v>4009</v>
      </c>
      <c r="C1567" s="5" t="s">
        <v>28</v>
      </c>
      <c r="D1567" s="5" t="s">
        <v>29</v>
      </c>
      <c r="E1567" s="5" t="s">
        <v>350</v>
      </c>
      <c r="F1567" s="9">
        <v>112</v>
      </c>
      <c r="G1567" s="9">
        <v>1309</v>
      </c>
      <c r="H1567" s="5" t="s">
        <v>20</v>
      </c>
      <c r="I1567" s="5" t="s">
        <v>4010</v>
      </c>
      <c r="J1567" s="12" t="str">
        <f>HYPERLINK("https://www.boe.es/gazeta/dias/1807/12/18/pdfs/GMD-1807-112.pdf#page=9","Abrir facsímil")</f>
        <v>Abrir facsímil</v>
      </c>
      <c r="K1567" s="15" t="s">
        <v>22</v>
      </c>
    </row>
    <row r="1568" spans="1:11" ht="42" customHeight="1">
      <c r="A1568" s="4" t="s">
        <v>4011</v>
      </c>
      <c r="B1568" s="5" t="s">
        <v>4011</v>
      </c>
      <c r="C1568" s="5" t="s">
        <v>28</v>
      </c>
      <c r="D1568" s="5" t="s">
        <v>29</v>
      </c>
      <c r="E1568" s="5" t="s">
        <v>321</v>
      </c>
      <c r="F1568" s="9">
        <v>75</v>
      </c>
      <c r="G1568" s="9">
        <v>868</v>
      </c>
      <c r="H1568" s="5" t="s">
        <v>20</v>
      </c>
      <c r="I1568" s="5" t="s">
        <v>4012</v>
      </c>
      <c r="J1568" s="12" t="str">
        <f>HYPERLINK("https://www.boe.es/gazeta/dias/1807/08/21/pdfs/GMD-1807-75.pdf#page=8","Abrir facsímil")</f>
        <v>Abrir facsímil</v>
      </c>
      <c r="K1568" s="15" t="s">
        <v>22</v>
      </c>
    </row>
    <row r="1569" spans="1:11" ht="42" customHeight="1">
      <c r="A1569" s="4" t="s">
        <v>4013</v>
      </c>
      <c r="B1569" s="5" t="s">
        <v>4014</v>
      </c>
      <c r="C1569" s="5" t="s">
        <v>34</v>
      </c>
      <c r="D1569" s="5" t="s">
        <v>35</v>
      </c>
      <c r="E1569" s="5" t="s">
        <v>620</v>
      </c>
      <c r="F1569" s="9">
        <v>84</v>
      </c>
      <c r="G1569" s="9">
        <v>981</v>
      </c>
      <c r="H1569" s="5" t="s">
        <v>20</v>
      </c>
      <c r="I1569" s="5" t="s">
        <v>4015</v>
      </c>
      <c r="J1569" s="12" t="str">
        <f>HYPERLINK("https://www.boe.es/gazeta/dias/1807/09/22/pdfs/GMD-1807-84.pdf#page=9","Abrir facsímil")</f>
        <v>Abrir facsímil</v>
      </c>
      <c r="K1569" s="15" t="s">
        <v>22</v>
      </c>
    </row>
    <row r="1570" spans="1:11" ht="42" customHeight="1">
      <c r="A1570" s="4" t="s">
        <v>4016</v>
      </c>
      <c r="B1570" s="5" t="s">
        <v>4016</v>
      </c>
      <c r="C1570" s="5" t="s">
        <v>24</v>
      </c>
      <c r="D1570" s="5" t="s">
        <v>18</v>
      </c>
      <c r="E1570" s="5" t="s">
        <v>245</v>
      </c>
      <c r="F1570" s="9">
        <v>97</v>
      </c>
      <c r="G1570" s="9">
        <v>1121</v>
      </c>
      <c r="H1570" s="5" t="s">
        <v>20</v>
      </c>
      <c r="I1570" s="5" t="s">
        <v>4017</v>
      </c>
      <c r="J1570" s="12" t="str">
        <f>HYPERLINK("https://www.boe.es/gazeta/dias/1807/10/30/pdfs/GMD-1807-97.pdf#page=1","Abrir facsímil")</f>
        <v>Abrir facsímil</v>
      </c>
      <c r="K1570" s="15" t="s">
        <v>22</v>
      </c>
    </row>
    <row r="1571" spans="1:11" ht="42" customHeight="1">
      <c r="A1571" s="4" t="s">
        <v>4018</v>
      </c>
      <c r="B1571" s="5" t="s">
        <v>4019</v>
      </c>
      <c r="C1571" s="5" t="s">
        <v>28</v>
      </c>
      <c r="D1571" s="5" t="s">
        <v>29</v>
      </c>
      <c r="E1571" s="5" t="s">
        <v>190</v>
      </c>
      <c r="F1571" s="9">
        <v>37</v>
      </c>
      <c r="G1571" s="9">
        <v>440</v>
      </c>
      <c r="H1571" s="5" t="s">
        <v>20</v>
      </c>
      <c r="I1571" s="5" t="s">
        <v>4020</v>
      </c>
      <c r="J1571" s="12" t="str">
        <f>HYPERLINK("https://www.boe.es/gazeta/dias/1807/04/28/pdfs/GMD-1807-37.pdf#page=8","Abrir facsímil")</f>
        <v>Abrir facsímil</v>
      </c>
      <c r="K1571" s="15" t="s">
        <v>22</v>
      </c>
    </row>
    <row r="1572" spans="1:11" ht="42" customHeight="1">
      <c r="A1572" s="4" t="s">
        <v>4021</v>
      </c>
      <c r="B1572" s="5" t="s">
        <v>4022</v>
      </c>
      <c r="C1572" s="5" t="s">
        <v>34</v>
      </c>
      <c r="D1572" s="5" t="s">
        <v>35</v>
      </c>
      <c r="E1572" s="5" t="s">
        <v>139</v>
      </c>
      <c r="F1572" s="9">
        <v>110</v>
      </c>
      <c r="G1572" s="9">
        <v>1284</v>
      </c>
      <c r="H1572" s="5" t="s">
        <v>20</v>
      </c>
      <c r="I1572" s="5" t="s">
        <v>4023</v>
      </c>
      <c r="J1572" s="12" t="str">
        <f>HYPERLINK("https://www.boe.es/gazeta/dias/1807/12/11/pdfs/GMD-1807-110.pdf#page=8","Abrir facsímil")</f>
        <v>Abrir facsímil</v>
      </c>
      <c r="K1572" s="15" t="s">
        <v>22</v>
      </c>
    </row>
    <row r="1573" spans="1:11" ht="42" customHeight="1">
      <c r="A1573" s="4" t="s">
        <v>4024</v>
      </c>
      <c r="B1573" s="5" t="s">
        <v>4024</v>
      </c>
      <c r="C1573" s="5" t="s">
        <v>34</v>
      </c>
      <c r="D1573" s="5" t="s">
        <v>35</v>
      </c>
      <c r="E1573" s="5" t="s">
        <v>53</v>
      </c>
      <c r="F1573" s="9">
        <v>64</v>
      </c>
      <c r="G1573" s="9">
        <v>747</v>
      </c>
      <c r="H1573" s="5" t="s">
        <v>20</v>
      </c>
      <c r="I1573" s="5" t="s">
        <v>4025</v>
      </c>
      <c r="J1573" s="12" t="str">
        <f>HYPERLINK("https://www.boe.es/gazeta/dias/1807/07/21/pdfs/GMD-1807-64.pdf#page=9","Abrir facsímil")</f>
        <v>Abrir facsímil</v>
      </c>
      <c r="K1573" s="15" t="s">
        <v>22</v>
      </c>
    </row>
    <row r="1574" spans="1:11" ht="42" customHeight="1">
      <c r="A1574" s="4" t="s">
        <v>4026</v>
      </c>
      <c r="B1574" s="5" t="s">
        <v>4027</v>
      </c>
      <c r="C1574" s="5" t="s">
        <v>34</v>
      </c>
      <c r="D1574" s="5" t="s">
        <v>35</v>
      </c>
      <c r="E1574" s="5" t="s">
        <v>1456</v>
      </c>
      <c r="F1574" s="9">
        <v>98</v>
      </c>
      <c r="G1574" s="9">
        <v>1141</v>
      </c>
      <c r="H1574" s="5" t="s">
        <v>20</v>
      </c>
      <c r="I1574" s="5" t="s">
        <v>4028</v>
      </c>
      <c r="J1574" s="12" t="str">
        <f>HYPERLINK("https://www.boe.es/gazeta/dias/1807/11/03/pdfs/GMD-1807-98.pdf#page=9","Abrir facsímil")</f>
        <v>Abrir facsímil</v>
      </c>
      <c r="K1574" s="15" t="s">
        <v>22</v>
      </c>
    </row>
    <row r="1575" spans="1:11" ht="42" customHeight="1">
      <c r="A1575" s="4" t="s">
        <v>4029</v>
      </c>
      <c r="B1575" s="5" t="s">
        <v>4030</v>
      </c>
      <c r="C1575" s="5" t="s">
        <v>49</v>
      </c>
      <c r="D1575" s="5" t="s">
        <v>50</v>
      </c>
      <c r="E1575" s="5" t="s">
        <v>309</v>
      </c>
      <c r="F1575" s="9">
        <v>107</v>
      </c>
      <c r="G1575" s="9">
        <v>1243</v>
      </c>
      <c r="H1575" s="5" t="s">
        <v>20</v>
      </c>
      <c r="I1575" s="5" t="s">
        <v>4031</v>
      </c>
      <c r="J1575" s="12" t="str">
        <f>HYPERLINK("https://www.boe.es/gazeta/dias/1807/12/01/pdfs/GMD-1807-107.pdf#page=3","Abrir facsímil")</f>
        <v>Abrir facsímil</v>
      </c>
      <c r="K1575" s="15" t="s">
        <v>22</v>
      </c>
    </row>
    <row r="1576" spans="1:11" ht="42" customHeight="1">
      <c r="A1576" s="4" t="s">
        <v>4029</v>
      </c>
      <c r="B1576" s="5" t="s">
        <v>4030</v>
      </c>
      <c r="C1576" s="5" t="s">
        <v>34</v>
      </c>
      <c r="D1576" s="5" t="s">
        <v>35</v>
      </c>
      <c r="E1576" s="5" t="s">
        <v>327</v>
      </c>
      <c r="F1576" s="9">
        <v>108</v>
      </c>
      <c r="G1576" s="9">
        <v>1254</v>
      </c>
      <c r="H1576" s="5" t="s">
        <v>20</v>
      </c>
      <c r="I1576" s="5" t="s">
        <v>4032</v>
      </c>
      <c r="J1576" s="12" t="str">
        <f>HYPERLINK("https://www.boe.es/gazeta/dias/1807/12/04/pdfs/GMD-1807-108.pdf#page=2","Abrir facsímil")</f>
        <v>Abrir facsímil</v>
      </c>
      <c r="K1576" s="15" t="s">
        <v>22</v>
      </c>
    </row>
    <row r="1577" spans="1:11" ht="42" customHeight="1">
      <c r="A1577" s="4" t="s">
        <v>4029</v>
      </c>
      <c r="B1577" s="5" t="s">
        <v>4030</v>
      </c>
      <c r="C1577" s="5" t="s">
        <v>28</v>
      </c>
      <c r="D1577" s="5" t="s">
        <v>29</v>
      </c>
      <c r="E1577" s="5" t="s">
        <v>91</v>
      </c>
      <c r="F1577" s="9">
        <v>109</v>
      </c>
      <c r="G1577" s="9">
        <v>1266</v>
      </c>
      <c r="H1577" s="5" t="s">
        <v>20</v>
      </c>
      <c r="I1577" s="5" t="s">
        <v>4033</v>
      </c>
      <c r="J1577" s="12" t="str">
        <f>HYPERLINK("https://www.boe.es/gazeta/dias/1807/12/08/pdfs/GMD-1807-109.pdf#page=2","Abrir facsímil")</f>
        <v>Abrir facsímil</v>
      </c>
      <c r="K1577" s="15" t="s">
        <v>22</v>
      </c>
    </row>
    <row r="1578" spans="1:11" ht="42" customHeight="1">
      <c r="A1578" s="4" t="s">
        <v>4029</v>
      </c>
      <c r="B1578" s="5" t="s">
        <v>4030</v>
      </c>
      <c r="C1578" s="5" t="s">
        <v>17</v>
      </c>
      <c r="D1578" s="5" t="s">
        <v>18</v>
      </c>
      <c r="E1578" s="5" t="s">
        <v>384</v>
      </c>
      <c r="F1578" s="9">
        <v>111</v>
      </c>
      <c r="G1578" s="9">
        <v>1291</v>
      </c>
      <c r="H1578" s="5" t="s">
        <v>20</v>
      </c>
      <c r="I1578" s="5" t="s">
        <v>4034</v>
      </c>
      <c r="J1578" s="12" t="str">
        <f>HYPERLINK("https://www.boe.es/gazeta/dias/1807/12/15/pdfs/GMD-1807-111.pdf#page=3","Abrir facsímil")</f>
        <v>Abrir facsímil</v>
      </c>
      <c r="K1578" s="15" t="s">
        <v>22</v>
      </c>
    </row>
    <row r="1579" spans="1:11" ht="42" customHeight="1">
      <c r="A1579" s="4" t="s">
        <v>4035</v>
      </c>
      <c r="B1579" s="5" t="s">
        <v>4035</v>
      </c>
      <c r="C1579" s="5" t="s">
        <v>34</v>
      </c>
      <c r="D1579" s="5" t="s">
        <v>35</v>
      </c>
      <c r="E1579" s="5" t="s">
        <v>406</v>
      </c>
      <c r="F1579" s="9">
        <v>82</v>
      </c>
      <c r="G1579" s="9">
        <v>957</v>
      </c>
      <c r="H1579" s="5" t="s">
        <v>20</v>
      </c>
      <c r="I1579" s="5" t="s">
        <v>4036</v>
      </c>
      <c r="J1579" s="12" t="str">
        <f>HYPERLINK("https://www.boe.es/gazeta/dias/1807/09/15/pdfs/GMD-1807-82.pdf#page=9","Abrir facsímil")</f>
        <v>Abrir facsímil</v>
      </c>
      <c r="K1579" s="15" t="s">
        <v>22</v>
      </c>
    </row>
    <row r="1580" spans="1:11" ht="42" customHeight="1">
      <c r="A1580" s="4" t="s">
        <v>4037</v>
      </c>
      <c r="B1580" s="5" t="s">
        <v>4037</v>
      </c>
      <c r="C1580" s="5" t="s">
        <v>28</v>
      </c>
      <c r="D1580" s="5" t="s">
        <v>29</v>
      </c>
      <c r="E1580" s="5" t="s">
        <v>76</v>
      </c>
      <c r="F1580" s="9">
        <v>7</v>
      </c>
      <c r="G1580" s="9">
        <v>80</v>
      </c>
      <c r="H1580" s="5" t="s">
        <v>20</v>
      </c>
      <c r="I1580" s="5" t="s">
        <v>4038</v>
      </c>
      <c r="J1580" s="12" t="str">
        <f>HYPERLINK("https://www.boe.es/gazeta/dias/1807/01/20/pdfs/GMD-1807-7.pdf#page=12","Abrir facsímil")</f>
        <v>Abrir facsímil</v>
      </c>
      <c r="K1580" s="15" t="s">
        <v>22</v>
      </c>
    </row>
    <row r="1581" spans="1:11" ht="42" customHeight="1">
      <c r="A1581" s="4" t="s">
        <v>4039</v>
      </c>
      <c r="B1581" s="5" t="s">
        <v>4039</v>
      </c>
      <c r="C1581" s="5" t="s">
        <v>28</v>
      </c>
      <c r="D1581" s="5" t="s">
        <v>29</v>
      </c>
      <c r="E1581" s="5" t="s">
        <v>76</v>
      </c>
      <c r="F1581" s="9">
        <v>7</v>
      </c>
      <c r="G1581" s="9">
        <v>78</v>
      </c>
      <c r="H1581" s="5" t="s">
        <v>20</v>
      </c>
      <c r="I1581" s="5" t="s">
        <v>4040</v>
      </c>
      <c r="J1581" s="12" t="str">
        <f>HYPERLINK("https://www.boe.es/gazeta/dias/1807/01/20/pdfs/GMD-1807-7.pdf#page=10","Abrir facsímil")</f>
        <v>Abrir facsímil</v>
      </c>
      <c r="K1581" s="15" t="s">
        <v>22</v>
      </c>
    </row>
    <row r="1582" spans="1:11" ht="42" customHeight="1">
      <c r="A1582" s="4" t="s">
        <v>4041</v>
      </c>
      <c r="B1582" s="5" t="s">
        <v>4041</v>
      </c>
      <c r="C1582" s="5" t="s">
        <v>252</v>
      </c>
      <c r="D1582" s="5" t="s">
        <v>253</v>
      </c>
      <c r="E1582" s="5" t="s">
        <v>314</v>
      </c>
      <c r="F1582" s="9" t="s">
        <v>315</v>
      </c>
      <c r="G1582" s="9">
        <v>1221</v>
      </c>
      <c r="H1582" s="5" t="s">
        <v>20</v>
      </c>
      <c r="I1582" s="5" t="s">
        <v>4042</v>
      </c>
      <c r="J1582" s="12" t="str">
        <f>HYPERLINK("https://www.boe.es/gazeta/dias/1807/11/26/pdfs/GMD-1807-105E.pdf#page=5","Abrir facsímil")</f>
        <v>Abrir facsímil</v>
      </c>
      <c r="K1582" s="15" t="s">
        <v>22</v>
      </c>
    </row>
    <row r="1583" spans="1:11" ht="42" customHeight="1">
      <c r="A1583" s="4" t="s">
        <v>4043</v>
      </c>
      <c r="B1583" s="5" t="s">
        <v>4043</v>
      </c>
      <c r="C1583" s="5" t="s">
        <v>17</v>
      </c>
      <c r="D1583" s="5" t="s">
        <v>18</v>
      </c>
      <c r="E1583" s="5" t="s">
        <v>65</v>
      </c>
      <c r="F1583" s="9">
        <v>52</v>
      </c>
      <c r="G1583" s="9">
        <v>621</v>
      </c>
      <c r="H1583" s="5" t="s">
        <v>20</v>
      </c>
      <c r="I1583" s="5" t="s">
        <v>4044</v>
      </c>
      <c r="J1583" s="12" t="str">
        <f>HYPERLINK("https://www.boe.es/gazeta/dias/1807/06/19/pdfs/GMD-1807-52.pdf#page=11","Abrir facsímil")</f>
        <v>Abrir facsímil</v>
      </c>
      <c r="K1583" s="15" t="s">
        <v>22</v>
      </c>
    </row>
    <row r="1584" spans="1:11" ht="42" customHeight="1">
      <c r="A1584" s="4" t="s">
        <v>4045</v>
      </c>
      <c r="B1584" s="5" t="s">
        <v>4045</v>
      </c>
      <c r="C1584" s="5" t="s">
        <v>28</v>
      </c>
      <c r="D1584" s="5" t="s">
        <v>29</v>
      </c>
      <c r="E1584" s="5" t="s">
        <v>498</v>
      </c>
      <c r="F1584" s="9">
        <v>32</v>
      </c>
      <c r="G1584" s="9">
        <v>381</v>
      </c>
      <c r="H1584" s="5" t="s">
        <v>20</v>
      </c>
      <c r="I1584" s="5" t="s">
        <v>4046</v>
      </c>
      <c r="J1584" s="12" t="str">
        <f>HYPERLINK("https://www.boe.es/gazeta/dias/1807/04/10/pdfs/GMD-1807-32.pdf#page=9","Abrir facsímil")</f>
        <v>Abrir facsímil</v>
      </c>
      <c r="K1584" s="15" t="s">
        <v>22</v>
      </c>
    </row>
    <row r="1585" spans="1:11" ht="42" customHeight="1">
      <c r="A1585" s="4" t="s">
        <v>4047</v>
      </c>
      <c r="B1585" s="5" t="s">
        <v>4048</v>
      </c>
      <c r="C1585" s="5" t="s">
        <v>49</v>
      </c>
      <c r="D1585" s="5" t="s">
        <v>50</v>
      </c>
      <c r="E1585" s="5" t="s">
        <v>406</v>
      </c>
      <c r="F1585" s="9">
        <v>82</v>
      </c>
      <c r="G1585" s="9">
        <v>950</v>
      </c>
      <c r="H1585" s="5" t="s">
        <v>20</v>
      </c>
      <c r="I1585" s="5" t="s">
        <v>4049</v>
      </c>
      <c r="J1585" s="12" t="str">
        <f>HYPERLINK("https://www.boe.es/gazeta/dias/1807/09/15/pdfs/GMD-1807-82.pdf#page=2","Abrir facsímil")</f>
        <v>Abrir facsímil</v>
      </c>
      <c r="K1585" s="15" t="s">
        <v>22</v>
      </c>
    </row>
    <row r="1586" spans="1:11" ht="42" customHeight="1">
      <c r="A1586" s="4" t="s">
        <v>4050</v>
      </c>
      <c r="B1586" s="5" t="s">
        <v>4051</v>
      </c>
      <c r="C1586" s="5" t="s">
        <v>34</v>
      </c>
      <c r="D1586" s="5" t="s">
        <v>35</v>
      </c>
      <c r="E1586" s="5" t="s">
        <v>441</v>
      </c>
      <c r="F1586" s="9">
        <v>92</v>
      </c>
      <c r="G1586" s="9">
        <v>1068</v>
      </c>
      <c r="H1586" s="5" t="s">
        <v>20</v>
      </c>
      <c r="I1586" s="5" t="s">
        <v>4052</v>
      </c>
      <c r="J1586" s="12" t="str">
        <f>HYPERLINK("https://www.boe.es/gazeta/dias/1807/10/13/pdfs/GMD-1807-92.pdf#page=8","Abrir facsímil")</f>
        <v>Abrir facsímil</v>
      </c>
      <c r="K1586" s="15" t="s">
        <v>22</v>
      </c>
    </row>
    <row r="1587" spans="1:11" ht="42" customHeight="1">
      <c r="A1587" s="4" t="s">
        <v>4053</v>
      </c>
      <c r="B1587" s="5" t="s">
        <v>4053</v>
      </c>
      <c r="C1587" s="5" t="s">
        <v>28</v>
      </c>
      <c r="D1587" s="5" t="s">
        <v>29</v>
      </c>
      <c r="E1587" s="5" t="s">
        <v>275</v>
      </c>
      <c r="F1587" s="9">
        <v>104</v>
      </c>
      <c r="G1587" s="9">
        <v>1210</v>
      </c>
      <c r="H1587" s="5" t="s">
        <v>20</v>
      </c>
      <c r="I1587" s="5" t="s">
        <v>4054</v>
      </c>
      <c r="J1587" s="12" t="str">
        <f>HYPERLINK("https://www.boe.es/gazeta/dias/1807/11/24/pdfs/GMD-1807-104.pdf#page=6","Abrir facsímil")</f>
        <v>Abrir facsímil</v>
      </c>
      <c r="K1587" s="15" t="s">
        <v>22</v>
      </c>
    </row>
    <row r="1588" spans="1:11" ht="42" customHeight="1">
      <c r="A1588" s="4" t="s">
        <v>4055</v>
      </c>
      <c r="B1588" s="5" t="s">
        <v>4055</v>
      </c>
      <c r="C1588" s="5" t="s">
        <v>69</v>
      </c>
      <c r="D1588" s="5" t="s">
        <v>70</v>
      </c>
      <c r="E1588" s="5" t="s">
        <v>71</v>
      </c>
      <c r="F1588" s="9">
        <v>35</v>
      </c>
      <c r="G1588" s="9" t="s">
        <v>197</v>
      </c>
      <c r="H1588" s="5" t="s">
        <v>20</v>
      </c>
      <c r="I1588" s="5" t="s">
        <v>4056</v>
      </c>
      <c r="J1588" s="12" t="str">
        <f>HYPERLINK("https://www.boe.es/gazeta/dias/1807/04/21/pdfs/C00001-00004.pdf#page=3","Abrir facsímil")</f>
        <v>Abrir facsímil</v>
      </c>
      <c r="K1588" s="15" t="s">
        <v>22</v>
      </c>
    </row>
    <row r="1589" spans="1:11" ht="42" customHeight="1">
      <c r="A1589" s="4" t="s">
        <v>4057</v>
      </c>
      <c r="B1589" s="5" t="s">
        <v>4057</v>
      </c>
      <c r="C1589" s="5" t="s">
        <v>28</v>
      </c>
      <c r="D1589" s="5" t="s">
        <v>29</v>
      </c>
      <c r="E1589" s="5" t="s">
        <v>71</v>
      </c>
      <c r="F1589" s="9">
        <v>35</v>
      </c>
      <c r="G1589" s="9">
        <v>416</v>
      </c>
      <c r="H1589" s="5" t="s">
        <v>20</v>
      </c>
      <c r="I1589" s="5" t="s">
        <v>4058</v>
      </c>
      <c r="J1589" s="12" t="str">
        <f>HYPERLINK("https://www.boe.es/gazeta/dias/1807/04/21/pdfs/GMD-1807-35.pdf#page=8","Abrir facsímil")</f>
        <v>Abrir facsímil</v>
      </c>
      <c r="K1589" s="15" t="s">
        <v>22</v>
      </c>
    </row>
    <row r="1590" spans="1:11" ht="42" customHeight="1">
      <c r="A1590" s="4" t="s">
        <v>4059</v>
      </c>
      <c r="B1590" s="5" t="s">
        <v>4059</v>
      </c>
      <c r="C1590" s="5" t="s">
        <v>34</v>
      </c>
      <c r="D1590" s="5" t="s">
        <v>35</v>
      </c>
      <c r="E1590" s="5" t="s">
        <v>319</v>
      </c>
      <c r="F1590" s="9">
        <v>54</v>
      </c>
      <c r="G1590" s="9">
        <v>645</v>
      </c>
      <c r="H1590" s="5" t="s">
        <v>20</v>
      </c>
      <c r="I1590" s="5" t="s">
        <v>4060</v>
      </c>
      <c r="J1590" s="12" t="str">
        <f>HYPERLINK("https://www.boe.es/gazeta/dias/1807/06/26/pdfs/GMD-1807-54.pdf#page=7","Abrir facsímil")</f>
        <v>Abrir facsímil</v>
      </c>
      <c r="K1590" s="15" t="s">
        <v>22</v>
      </c>
    </row>
    <row r="1591" spans="1:11" ht="42" customHeight="1">
      <c r="A1591" s="4" t="s">
        <v>4061</v>
      </c>
      <c r="B1591" s="5" t="s">
        <v>4062</v>
      </c>
      <c r="C1591" s="5" t="s">
        <v>17</v>
      </c>
      <c r="D1591" s="5" t="s">
        <v>18</v>
      </c>
      <c r="E1591" s="5" t="s">
        <v>384</v>
      </c>
      <c r="F1591" s="9">
        <v>111</v>
      </c>
      <c r="G1591" s="9">
        <v>1298</v>
      </c>
      <c r="H1591" s="5" t="s">
        <v>20</v>
      </c>
      <c r="I1591" s="5" t="s">
        <v>4063</v>
      </c>
      <c r="J1591" s="12" t="str">
        <f>HYPERLINK("https://www.boe.es/gazeta/dias/1807/12/15/pdfs/GMD-1807-111.pdf#page=10","Abrir facsímil")</f>
        <v>Abrir facsímil</v>
      </c>
      <c r="K1591" s="15" t="s">
        <v>22</v>
      </c>
    </row>
    <row r="1592" spans="1:11" ht="42" customHeight="1">
      <c r="A1592" s="4" t="s">
        <v>4064</v>
      </c>
      <c r="B1592" s="5" t="s">
        <v>4064</v>
      </c>
      <c r="C1592" s="5" t="s">
        <v>24</v>
      </c>
      <c r="D1592" s="5" t="s">
        <v>18</v>
      </c>
      <c r="E1592" s="5" t="s">
        <v>81</v>
      </c>
      <c r="F1592" s="9">
        <v>49</v>
      </c>
      <c r="G1592" s="9">
        <v>586</v>
      </c>
      <c r="H1592" s="5" t="s">
        <v>20</v>
      </c>
      <c r="I1592" s="5" t="s">
        <v>4065</v>
      </c>
      <c r="J1592" s="12" t="str">
        <f>HYPERLINK("https://www.boe.es/gazeta/dias/1807/06/09/pdfs/GMD-1807-49.pdf#page=12","Abrir facsímil")</f>
        <v>Abrir facsímil</v>
      </c>
      <c r="K1592" s="15" t="s">
        <v>22</v>
      </c>
    </row>
    <row r="1593" spans="1:11" ht="42" customHeight="1">
      <c r="A1593" s="4" t="s">
        <v>4066</v>
      </c>
      <c r="B1593" s="5" t="s">
        <v>4067</v>
      </c>
      <c r="C1593" s="5" t="s">
        <v>34</v>
      </c>
      <c r="D1593" s="5" t="s">
        <v>35</v>
      </c>
      <c r="E1593" s="5" t="s">
        <v>507</v>
      </c>
      <c r="F1593" s="9">
        <v>48</v>
      </c>
      <c r="G1593" s="9">
        <v>570</v>
      </c>
      <c r="H1593" s="5" t="s">
        <v>20</v>
      </c>
      <c r="I1593" s="5" t="s">
        <v>4068</v>
      </c>
      <c r="J1593" s="12" t="str">
        <f>HYPERLINK("https://www.boe.es/gazeta/dias/1807/06/05/pdfs/GMD-1807-48.pdf#page=8","Abrir facsímil")</f>
        <v>Abrir facsímil</v>
      </c>
      <c r="K1593" s="15" t="s">
        <v>22</v>
      </c>
    </row>
    <row r="1594" spans="1:11" ht="42" customHeight="1">
      <c r="A1594" s="4" t="s">
        <v>4069</v>
      </c>
      <c r="B1594" s="5" t="s">
        <v>4069</v>
      </c>
      <c r="C1594" s="5" t="s">
        <v>28</v>
      </c>
      <c r="D1594" s="5" t="s">
        <v>29</v>
      </c>
      <c r="E1594" s="5" t="s">
        <v>275</v>
      </c>
      <c r="F1594" s="9">
        <v>104</v>
      </c>
      <c r="G1594" s="9">
        <v>1210</v>
      </c>
      <c r="H1594" s="5" t="s">
        <v>20</v>
      </c>
      <c r="I1594" s="5" t="s">
        <v>4070</v>
      </c>
      <c r="J1594" s="12" t="str">
        <f>HYPERLINK("https://www.boe.es/gazeta/dias/1807/11/24/pdfs/GMD-1807-104.pdf#page=6","Abrir facsímil")</f>
        <v>Abrir facsímil</v>
      </c>
      <c r="K1594" s="15" t="s">
        <v>22</v>
      </c>
    </row>
    <row r="1595" spans="1:11" ht="42" customHeight="1">
      <c r="A1595" s="4" t="s">
        <v>4071</v>
      </c>
      <c r="B1595" s="5" t="s">
        <v>4071</v>
      </c>
      <c r="C1595" s="5" t="s">
        <v>17</v>
      </c>
      <c r="D1595" s="5" t="s">
        <v>18</v>
      </c>
      <c r="E1595" s="5" t="s">
        <v>167</v>
      </c>
      <c r="F1595" s="9">
        <v>77</v>
      </c>
      <c r="G1595" s="9">
        <v>891</v>
      </c>
      <c r="H1595" s="5" t="s">
        <v>20</v>
      </c>
      <c r="I1595" s="5" t="s">
        <v>4072</v>
      </c>
      <c r="J1595" s="12" t="str">
        <f>HYPERLINK("https://www.boe.es/gazeta/dias/1807/08/28/pdfs/GMD-1807-77.pdf#page=7","Abrir facsímil")</f>
        <v>Abrir facsímil</v>
      </c>
      <c r="K1595" s="15" t="s">
        <v>22</v>
      </c>
    </row>
    <row r="1596" spans="1:11" ht="42" customHeight="1">
      <c r="A1596" s="4" t="s">
        <v>4073</v>
      </c>
      <c r="B1596" s="5" t="s">
        <v>4074</v>
      </c>
      <c r="C1596" s="5" t="s">
        <v>49</v>
      </c>
      <c r="D1596" s="5" t="s">
        <v>50</v>
      </c>
      <c r="E1596" s="5" t="s">
        <v>79</v>
      </c>
      <c r="F1596" s="9">
        <v>11</v>
      </c>
      <c r="G1596" s="9">
        <v>123</v>
      </c>
      <c r="H1596" s="5" t="s">
        <v>20</v>
      </c>
      <c r="I1596" s="5" t="s">
        <v>4075</v>
      </c>
      <c r="J1596" s="12" t="str">
        <f>HYPERLINK("https://www.boe.es/gazeta/dias/1807/01/30/pdfs/GMD-1807-11.pdf#page=7","Abrir facsímil")</f>
        <v>Abrir facsímil</v>
      </c>
      <c r="K1596" s="15" t="s">
        <v>22</v>
      </c>
    </row>
    <row r="1597" spans="1:11" ht="42" customHeight="1">
      <c r="A1597" s="4" t="s">
        <v>4076</v>
      </c>
      <c r="B1597" s="5" t="s">
        <v>4077</v>
      </c>
      <c r="C1597" s="5" t="s">
        <v>34</v>
      </c>
      <c r="D1597" s="5" t="s">
        <v>35</v>
      </c>
      <c r="E1597" s="5" t="s">
        <v>156</v>
      </c>
      <c r="F1597" s="9">
        <v>74</v>
      </c>
      <c r="G1597" s="9">
        <v>854</v>
      </c>
      <c r="H1597" s="5" t="s">
        <v>20</v>
      </c>
      <c r="I1597" s="5" t="s">
        <v>4078</v>
      </c>
      <c r="J1597" s="12" t="str">
        <f>HYPERLINK("https://www.boe.es/gazeta/dias/1807/08/18/pdfs/GMD-1807-74.pdf#page=6","Abrir facsímil")</f>
        <v>Abrir facsímil</v>
      </c>
      <c r="K1597" s="15" t="s">
        <v>22</v>
      </c>
    </row>
    <row r="1598" spans="1:11" ht="42" customHeight="1">
      <c r="A1598" s="4" t="s">
        <v>4079</v>
      </c>
      <c r="B1598" s="5" t="s">
        <v>4079</v>
      </c>
      <c r="C1598" s="5" t="s">
        <v>17</v>
      </c>
      <c r="D1598" s="5" t="s">
        <v>18</v>
      </c>
      <c r="E1598" s="5" t="s">
        <v>530</v>
      </c>
      <c r="F1598" s="9">
        <v>79</v>
      </c>
      <c r="G1598" s="9">
        <v>924</v>
      </c>
      <c r="H1598" s="5" t="s">
        <v>20</v>
      </c>
      <c r="I1598" s="5" t="s">
        <v>4080</v>
      </c>
      <c r="J1598" s="12" t="str">
        <f>HYPERLINK("https://www.boe.es/gazeta/dias/1807/09/04/pdfs/GMD-1807-79.pdf#page=16","Abrir facsímil")</f>
        <v>Abrir facsímil</v>
      </c>
      <c r="K1598" s="15" t="s">
        <v>22</v>
      </c>
    </row>
    <row r="1599" spans="1:11" ht="42" customHeight="1">
      <c r="A1599" s="4" t="s">
        <v>4081</v>
      </c>
      <c r="B1599" s="5" t="s">
        <v>4081</v>
      </c>
      <c r="C1599" s="5" t="s">
        <v>28</v>
      </c>
      <c r="D1599" s="5" t="s">
        <v>29</v>
      </c>
      <c r="E1599" s="5" t="s">
        <v>156</v>
      </c>
      <c r="F1599" s="9">
        <v>74</v>
      </c>
      <c r="G1599" s="9">
        <v>854</v>
      </c>
      <c r="H1599" s="5" t="s">
        <v>20</v>
      </c>
      <c r="I1599" s="5" t="s">
        <v>4082</v>
      </c>
      <c r="J1599" s="12" t="str">
        <f>HYPERLINK("https://www.boe.es/gazeta/dias/1807/08/18/pdfs/GMD-1807-74.pdf#page=6","Abrir facsímil")</f>
        <v>Abrir facsímil</v>
      </c>
      <c r="K1599" s="15" t="s">
        <v>22</v>
      </c>
    </row>
    <row r="1600" spans="1:11" ht="42" customHeight="1">
      <c r="A1600" s="4" t="s">
        <v>4083</v>
      </c>
      <c r="B1600" s="5" t="s">
        <v>4083</v>
      </c>
      <c r="C1600" s="5" t="s">
        <v>34</v>
      </c>
      <c r="D1600" s="5" t="s">
        <v>35</v>
      </c>
      <c r="E1600" s="5" t="s">
        <v>19</v>
      </c>
      <c r="F1600" s="9">
        <v>41</v>
      </c>
      <c r="G1600" s="9">
        <v>489</v>
      </c>
      <c r="H1600" s="5" t="s">
        <v>20</v>
      </c>
      <c r="I1600" s="5" t="s">
        <v>4084</v>
      </c>
      <c r="J1600" s="12" t="str">
        <f>HYPERLINK("https://www.boe.es/gazeta/dias/1807/05/12/pdfs/GMD-1807-41.pdf#page=7","Abrir facsímil")</f>
        <v>Abrir facsímil</v>
      </c>
      <c r="K1600" s="15" t="s">
        <v>22</v>
      </c>
    </row>
    <row r="1601" spans="1:11" ht="42" customHeight="1">
      <c r="A1601" s="4" t="s">
        <v>4085</v>
      </c>
      <c r="B1601" s="5" t="s">
        <v>4085</v>
      </c>
      <c r="C1601" s="5" t="s">
        <v>28</v>
      </c>
      <c r="D1601" s="5" t="s">
        <v>29</v>
      </c>
      <c r="E1601" s="5" t="s">
        <v>390</v>
      </c>
      <c r="F1601" s="9">
        <v>24</v>
      </c>
      <c r="G1601" s="9">
        <v>285</v>
      </c>
      <c r="H1601" s="5" t="s">
        <v>20</v>
      </c>
      <c r="I1601" s="5" t="s">
        <v>4086</v>
      </c>
      <c r="J1601" s="12" t="str">
        <f>HYPERLINK("https://www.boe.es/gazeta/dias/1807/03/13/pdfs/GMD-1807-24.pdf#page=9","Abrir facsímil")</f>
        <v>Abrir facsímil</v>
      </c>
      <c r="K1601" s="15" t="s">
        <v>22</v>
      </c>
    </row>
    <row r="1602" spans="1:11" ht="42" customHeight="1">
      <c r="A1602" s="4" t="s">
        <v>4087</v>
      </c>
      <c r="B1602" s="5" t="s">
        <v>4088</v>
      </c>
      <c r="C1602" s="5" t="s">
        <v>89</v>
      </c>
      <c r="D1602" s="5" t="s">
        <v>90</v>
      </c>
      <c r="E1602" s="5" t="s">
        <v>384</v>
      </c>
      <c r="F1602" s="9">
        <v>111</v>
      </c>
      <c r="G1602" s="9">
        <v>1300</v>
      </c>
      <c r="H1602" s="5" t="s">
        <v>20</v>
      </c>
      <c r="I1602" s="5" t="s">
        <v>4089</v>
      </c>
      <c r="J1602" s="12" t="str">
        <f>HYPERLINK("https://www.boe.es/gazeta/dias/1807/12/15/pdfs/GMD-1807-111.pdf#page=12","Abrir facsímil")</f>
        <v>Abrir facsímil</v>
      </c>
      <c r="K1602" s="15" t="s">
        <v>22</v>
      </c>
    </row>
    <row r="1603" spans="1:11" ht="42" customHeight="1">
      <c r="A1603" s="4" t="s">
        <v>4090</v>
      </c>
      <c r="B1603" s="5" t="s">
        <v>4090</v>
      </c>
      <c r="C1603" s="5" t="s">
        <v>89</v>
      </c>
      <c r="D1603" s="5" t="s">
        <v>90</v>
      </c>
      <c r="E1603" s="5" t="s">
        <v>94</v>
      </c>
      <c r="F1603" s="9">
        <v>22</v>
      </c>
      <c r="G1603" s="9">
        <v>259</v>
      </c>
      <c r="H1603" s="5" t="s">
        <v>20</v>
      </c>
      <c r="I1603" s="5" t="s">
        <v>4091</v>
      </c>
      <c r="J1603" s="12" t="str">
        <f>HYPERLINK("https://www.boe.es/gazeta/dias/1807/03/06/pdfs/GMD-1807-22.pdf#page=11","Abrir facsímil")</f>
        <v>Abrir facsímil</v>
      </c>
      <c r="K1603" s="15" t="s">
        <v>22</v>
      </c>
    </row>
    <row r="1604" spans="1:11" ht="42" customHeight="1">
      <c r="A1604" s="4" t="s">
        <v>4092</v>
      </c>
      <c r="B1604" s="5" t="s">
        <v>4093</v>
      </c>
      <c r="C1604" s="5" t="s">
        <v>17</v>
      </c>
      <c r="D1604" s="5" t="s">
        <v>18</v>
      </c>
      <c r="E1604" s="5" t="s">
        <v>1934</v>
      </c>
      <c r="F1604" s="9">
        <v>2</v>
      </c>
      <c r="G1604" s="9">
        <v>18</v>
      </c>
      <c r="H1604" s="5" t="s">
        <v>20</v>
      </c>
      <c r="I1604" s="5" t="s">
        <v>4094</v>
      </c>
      <c r="J1604" s="12" t="str">
        <f>HYPERLINK("https://www.boe.es/gazeta/dias/1807/01/06/pdfs/GMD-1807-2.pdf#page=6","Abrir facsímil")</f>
        <v>Abrir facsímil</v>
      </c>
      <c r="K1604" s="15" t="s">
        <v>22</v>
      </c>
    </row>
    <row r="1605" spans="1:11" ht="42" customHeight="1">
      <c r="A1605" s="4" t="s">
        <v>4095</v>
      </c>
      <c r="B1605" s="5" t="s">
        <v>4096</v>
      </c>
      <c r="C1605" s="5" t="s">
        <v>17</v>
      </c>
      <c r="D1605" s="5" t="s">
        <v>18</v>
      </c>
      <c r="E1605" s="5" t="s">
        <v>384</v>
      </c>
      <c r="F1605" s="9">
        <v>111</v>
      </c>
      <c r="G1605" s="9">
        <v>1298</v>
      </c>
      <c r="H1605" s="5" t="s">
        <v>20</v>
      </c>
      <c r="I1605" s="5" t="s">
        <v>4097</v>
      </c>
      <c r="J1605" s="12" t="str">
        <f>HYPERLINK("https://www.boe.es/gazeta/dias/1807/12/15/pdfs/GMD-1807-111.pdf#page=10","Abrir facsímil")</f>
        <v>Abrir facsímil</v>
      </c>
      <c r="K1605" s="15" t="s">
        <v>22</v>
      </c>
    </row>
    <row r="1606" spans="1:11" ht="42" customHeight="1">
      <c r="A1606" s="4" t="s">
        <v>4098</v>
      </c>
      <c r="B1606" s="5" t="s">
        <v>4099</v>
      </c>
      <c r="C1606" s="5" t="s">
        <v>34</v>
      </c>
      <c r="D1606" s="5" t="s">
        <v>35</v>
      </c>
      <c r="E1606" s="5" t="s">
        <v>30</v>
      </c>
      <c r="F1606" s="9">
        <v>13</v>
      </c>
      <c r="G1606" s="9">
        <v>149</v>
      </c>
      <c r="H1606" s="5" t="s">
        <v>20</v>
      </c>
      <c r="I1606" s="5" t="s">
        <v>4100</v>
      </c>
      <c r="J1606" s="12" t="str">
        <f>HYPERLINK("https://www.boe.es/gazeta/dias/1807/02/06/pdfs/GMD-1807-13.pdf#page=9","Abrir facsímil")</f>
        <v>Abrir facsímil</v>
      </c>
      <c r="K1606" s="15" t="s">
        <v>22</v>
      </c>
    </row>
    <row r="1607" spans="1:11" ht="42" customHeight="1">
      <c r="A1607" s="4" t="s">
        <v>4101</v>
      </c>
      <c r="B1607" s="5" t="s">
        <v>4102</v>
      </c>
      <c r="C1607" s="5" t="s">
        <v>28</v>
      </c>
      <c r="D1607" s="5" t="s">
        <v>29</v>
      </c>
      <c r="E1607" s="5" t="s">
        <v>686</v>
      </c>
      <c r="F1607" s="9">
        <v>106</v>
      </c>
      <c r="G1607" s="9">
        <v>1237</v>
      </c>
      <c r="H1607" s="5" t="s">
        <v>20</v>
      </c>
      <c r="I1607" s="5" t="s">
        <v>4103</v>
      </c>
      <c r="J1607" s="12" t="str">
        <f>HYPERLINK("https://www.boe.es/gazeta/dias/1807/11/27/pdfs/GMD-1807-106.pdf#page=9","Abrir facsímil")</f>
        <v>Abrir facsímil</v>
      </c>
      <c r="K1607" s="15" t="s">
        <v>22</v>
      </c>
    </row>
    <row r="1608" spans="1:11" ht="42" customHeight="1">
      <c r="A1608" s="4" t="s">
        <v>4104</v>
      </c>
      <c r="B1608" s="5" t="s">
        <v>4105</v>
      </c>
      <c r="C1608" s="5" t="s">
        <v>28</v>
      </c>
      <c r="D1608" s="5" t="s">
        <v>29</v>
      </c>
      <c r="E1608" s="5" t="s">
        <v>42</v>
      </c>
      <c r="F1608" s="9">
        <v>31</v>
      </c>
      <c r="G1608" s="9">
        <v>367</v>
      </c>
      <c r="H1608" s="5" t="s">
        <v>20</v>
      </c>
      <c r="I1608" s="5" t="s">
        <v>4106</v>
      </c>
      <c r="J1608" s="12" t="str">
        <f>HYPERLINK("https://www.boe.es/gazeta/dias/1807/04/07/pdfs/GMD-1807-31.pdf#page=7","Abrir facsímil")</f>
        <v>Abrir facsímil</v>
      </c>
      <c r="K1608" s="15" t="s">
        <v>22</v>
      </c>
    </row>
    <row r="1609" spans="1:11" ht="42" customHeight="1">
      <c r="A1609" s="4" t="s">
        <v>4104</v>
      </c>
      <c r="B1609" s="5" t="s">
        <v>4105</v>
      </c>
      <c r="C1609" s="5" t="s">
        <v>28</v>
      </c>
      <c r="D1609" s="5" t="s">
        <v>29</v>
      </c>
      <c r="E1609" s="5" t="s">
        <v>186</v>
      </c>
      <c r="F1609" s="9">
        <v>72</v>
      </c>
      <c r="G1609" s="9">
        <v>828</v>
      </c>
      <c r="H1609" s="5" t="s">
        <v>20</v>
      </c>
      <c r="I1609" s="5" t="s">
        <v>4107</v>
      </c>
      <c r="J1609" s="12" t="str">
        <f>HYPERLINK("https://www.boe.es/gazeta/dias/1807/08/11/pdfs/GMD-1807-72.pdf#page=8","Abrir facsímil")</f>
        <v>Abrir facsímil</v>
      </c>
      <c r="K1609" s="15" t="s">
        <v>22</v>
      </c>
    </row>
    <row r="1610" spans="1:11" ht="42" customHeight="1">
      <c r="A1610" s="4" t="s">
        <v>4108</v>
      </c>
      <c r="B1610" s="5" t="s">
        <v>4109</v>
      </c>
      <c r="C1610" s="5" t="s">
        <v>34</v>
      </c>
      <c r="D1610" s="5" t="s">
        <v>35</v>
      </c>
      <c r="E1610" s="5" t="s">
        <v>30</v>
      </c>
      <c r="F1610" s="9">
        <v>13</v>
      </c>
      <c r="G1610" s="9">
        <v>149</v>
      </c>
      <c r="H1610" s="5" t="s">
        <v>20</v>
      </c>
      <c r="I1610" s="5" t="s">
        <v>4110</v>
      </c>
      <c r="J1610" s="12" t="str">
        <f>HYPERLINK("https://www.boe.es/gazeta/dias/1807/02/06/pdfs/GMD-1807-13.pdf#page=9","Abrir facsímil")</f>
        <v>Abrir facsímil</v>
      </c>
      <c r="K1610" s="15" t="s">
        <v>22</v>
      </c>
    </row>
    <row r="1611" spans="1:11" ht="42" customHeight="1">
      <c r="A1611" s="4" t="s">
        <v>4111</v>
      </c>
      <c r="B1611" s="5" t="s">
        <v>4112</v>
      </c>
      <c r="C1611" s="5" t="s">
        <v>28</v>
      </c>
      <c r="D1611" s="5" t="s">
        <v>29</v>
      </c>
      <c r="E1611" s="5" t="s">
        <v>208</v>
      </c>
      <c r="F1611" s="9">
        <v>42</v>
      </c>
      <c r="G1611" s="9">
        <v>505</v>
      </c>
      <c r="H1611" s="5" t="s">
        <v>20</v>
      </c>
      <c r="I1611" s="5" t="s">
        <v>4113</v>
      </c>
      <c r="J1611" s="12" t="str">
        <f>HYPERLINK("https://www.boe.es/gazeta/dias/1807/05/15/pdfs/GMD-1807-42.pdf#page=11","Abrir facsímil")</f>
        <v>Abrir facsímil</v>
      </c>
      <c r="K1611" s="15" t="s">
        <v>22</v>
      </c>
    </row>
    <row r="1612" spans="1:11" ht="42" customHeight="1">
      <c r="A1612" s="4" t="s">
        <v>4114</v>
      </c>
      <c r="B1612" s="5" t="s">
        <v>4115</v>
      </c>
      <c r="C1612" s="5" t="s">
        <v>24</v>
      </c>
      <c r="D1612" s="5" t="s">
        <v>18</v>
      </c>
      <c r="E1612" s="5" t="s">
        <v>321</v>
      </c>
      <c r="F1612" s="9">
        <v>75</v>
      </c>
      <c r="G1612" s="9">
        <v>871</v>
      </c>
      <c r="H1612" s="5" t="s">
        <v>20</v>
      </c>
      <c r="I1612" s="5" t="s">
        <v>4116</v>
      </c>
      <c r="J1612" s="12" t="str">
        <f>HYPERLINK("https://www.boe.es/gazeta/dias/1807/08/21/pdfs/GMD-1807-75.pdf#page=11","Abrir facsímil")</f>
        <v>Abrir facsímil</v>
      </c>
      <c r="K1612" s="15" t="s">
        <v>22</v>
      </c>
    </row>
    <row r="1613" spans="1:11" ht="42" customHeight="1">
      <c r="A1613" s="4" t="s">
        <v>4117</v>
      </c>
      <c r="B1613" s="5" t="s">
        <v>4118</v>
      </c>
      <c r="C1613" s="5" t="s">
        <v>34</v>
      </c>
      <c r="D1613" s="5" t="s">
        <v>35</v>
      </c>
      <c r="E1613" s="5" t="s">
        <v>414</v>
      </c>
      <c r="F1613" s="9">
        <v>40</v>
      </c>
      <c r="G1613" s="9">
        <v>481</v>
      </c>
      <c r="H1613" s="5" t="s">
        <v>20</v>
      </c>
      <c r="I1613" s="5" t="s">
        <v>4119</v>
      </c>
      <c r="J1613" s="12" t="str">
        <f>HYPERLINK("https://www.boe.es/gazeta/dias/1807/05/08/pdfs/GMD-1807-40.pdf#page=11","Abrir facsímil")</f>
        <v>Abrir facsímil</v>
      </c>
      <c r="K1613" s="15" t="s">
        <v>22</v>
      </c>
    </row>
    <row r="1614" spans="1:11" ht="42" customHeight="1">
      <c r="A1614" s="4" t="s">
        <v>4120</v>
      </c>
      <c r="B1614" s="5" t="s">
        <v>4121</v>
      </c>
      <c r="C1614" s="5" t="s">
        <v>28</v>
      </c>
      <c r="D1614" s="5" t="s">
        <v>29</v>
      </c>
      <c r="E1614" s="5" t="s">
        <v>464</v>
      </c>
      <c r="F1614" s="9">
        <v>18</v>
      </c>
      <c r="G1614" s="9">
        <v>212</v>
      </c>
      <c r="H1614" s="5" t="s">
        <v>20</v>
      </c>
      <c r="I1614" s="5" t="s">
        <v>4122</v>
      </c>
      <c r="J1614" s="12" t="str">
        <f>HYPERLINK("https://www.boe.es/gazeta/dias/1807/02/24/pdfs/GMD-1807-18.pdf#page=12","Abrir facsímil")</f>
        <v>Abrir facsímil</v>
      </c>
      <c r="K1614" s="15" t="s">
        <v>22</v>
      </c>
    </row>
    <row r="1615" spans="1:11" ht="42" customHeight="1">
      <c r="A1615" s="4" t="s">
        <v>4123</v>
      </c>
      <c r="B1615" s="5" t="s">
        <v>4124</v>
      </c>
      <c r="C1615" s="5" t="s">
        <v>28</v>
      </c>
      <c r="D1615" s="5" t="s">
        <v>29</v>
      </c>
      <c r="E1615" s="5" t="s">
        <v>498</v>
      </c>
      <c r="F1615" s="9">
        <v>32</v>
      </c>
      <c r="G1615" s="9">
        <v>380</v>
      </c>
      <c r="H1615" s="5" t="s">
        <v>20</v>
      </c>
      <c r="I1615" s="5" t="s">
        <v>4125</v>
      </c>
      <c r="J1615" s="12" t="str">
        <f>HYPERLINK("https://www.boe.es/gazeta/dias/1807/04/10/pdfs/GMD-1807-32.pdf#page=8","Abrir facsímil")</f>
        <v>Abrir facsímil</v>
      </c>
      <c r="K1615" s="15" t="s">
        <v>22</v>
      </c>
    </row>
    <row r="1616" spans="1:11" ht="42" customHeight="1">
      <c r="A1616" s="4" t="s">
        <v>4126</v>
      </c>
      <c r="B1616" s="5" t="s">
        <v>4127</v>
      </c>
      <c r="C1616" s="5" t="s">
        <v>34</v>
      </c>
      <c r="D1616" s="5" t="s">
        <v>35</v>
      </c>
      <c r="E1616" s="5" t="s">
        <v>418</v>
      </c>
      <c r="F1616" s="9">
        <v>4</v>
      </c>
      <c r="G1616" s="9">
        <v>43</v>
      </c>
      <c r="H1616" s="5" t="s">
        <v>20</v>
      </c>
      <c r="I1616" s="5" t="s">
        <v>4128</v>
      </c>
      <c r="J1616" s="12" t="str">
        <f>HYPERLINK("https://www.boe.es/gazeta/dias/1807/01/13/pdfs/GMD-1807-4.pdf#page=11","Abrir facsímil")</f>
        <v>Abrir facsímil</v>
      </c>
      <c r="K1616" s="15" t="s">
        <v>22</v>
      </c>
    </row>
    <row r="1617" spans="1:11" ht="42" customHeight="1">
      <c r="A1617" s="4" t="s">
        <v>4126</v>
      </c>
      <c r="B1617" s="5" t="s">
        <v>4127</v>
      </c>
      <c r="C1617" s="5" t="s">
        <v>24</v>
      </c>
      <c r="D1617" s="5" t="s">
        <v>18</v>
      </c>
      <c r="E1617" s="5" t="s">
        <v>561</v>
      </c>
      <c r="F1617" s="9">
        <v>44</v>
      </c>
      <c r="G1617" s="9">
        <v>529</v>
      </c>
      <c r="H1617" s="5" t="s">
        <v>20</v>
      </c>
      <c r="I1617" s="5" t="s">
        <v>4129</v>
      </c>
      <c r="J1617" s="12" t="str">
        <f>HYPERLINK("https://www.boe.es/gazeta/dias/1807/05/22/pdfs/GMD-1807-44.pdf#page=11","Abrir facsímil")</f>
        <v>Abrir facsímil</v>
      </c>
      <c r="K1617" s="15" t="s">
        <v>22</v>
      </c>
    </row>
    <row r="1618" spans="1:11" ht="42" customHeight="1">
      <c r="A1618" s="4" t="s">
        <v>4126</v>
      </c>
      <c r="B1618" s="5" t="s">
        <v>4127</v>
      </c>
      <c r="C1618" s="5" t="s">
        <v>89</v>
      </c>
      <c r="D1618" s="5" t="s">
        <v>90</v>
      </c>
      <c r="E1618" s="5" t="s">
        <v>219</v>
      </c>
      <c r="F1618" s="9">
        <v>56</v>
      </c>
      <c r="G1618" s="9">
        <v>673</v>
      </c>
      <c r="H1618" s="5" t="s">
        <v>20</v>
      </c>
      <c r="I1618" s="5" t="s">
        <v>4130</v>
      </c>
      <c r="J1618" s="12" t="str">
        <f>HYPERLINK("https://www.boe.es/gazeta/dias/1807/07/03/pdfs/GMD-1807-56.pdf#page=11","Abrir facsímil")</f>
        <v>Abrir facsímil</v>
      </c>
      <c r="K1618" s="15" t="s">
        <v>22</v>
      </c>
    </row>
    <row r="1619" spans="1:11" ht="42" customHeight="1">
      <c r="A1619" s="4" t="s">
        <v>4126</v>
      </c>
      <c r="B1619" s="5" t="s">
        <v>4127</v>
      </c>
      <c r="C1619" s="5" t="s">
        <v>24</v>
      </c>
      <c r="D1619" s="5" t="s">
        <v>18</v>
      </c>
      <c r="E1619" s="5" t="s">
        <v>135</v>
      </c>
      <c r="F1619" s="9">
        <v>80</v>
      </c>
      <c r="G1619" s="9">
        <v>936</v>
      </c>
      <c r="H1619" s="5" t="s">
        <v>20</v>
      </c>
      <c r="I1619" s="5" t="s">
        <v>4131</v>
      </c>
      <c r="J1619" s="12" t="str">
        <f>HYPERLINK("https://www.boe.es/gazeta/dias/1807/09/08/pdfs/GMD-1807-80.pdf#page=12","Abrir facsímil")</f>
        <v>Abrir facsímil</v>
      </c>
      <c r="K1619" s="15" t="s">
        <v>22</v>
      </c>
    </row>
    <row r="1620" spans="1:11" ht="42" customHeight="1">
      <c r="A1620" s="4" t="s">
        <v>4132</v>
      </c>
      <c r="B1620" s="5" t="s">
        <v>4133</v>
      </c>
      <c r="C1620" s="5" t="s">
        <v>34</v>
      </c>
      <c r="D1620" s="5" t="s">
        <v>35</v>
      </c>
      <c r="E1620" s="5" t="s">
        <v>259</v>
      </c>
      <c r="F1620" s="9">
        <v>3</v>
      </c>
      <c r="G1620" s="9">
        <v>27</v>
      </c>
      <c r="H1620" s="5" t="s">
        <v>20</v>
      </c>
      <c r="I1620" s="5" t="s">
        <v>4134</v>
      </c>
      <c r="J1620" s="12" t="str">
        <f>HYPERLINK("https://www.boe.es/gazeta/dias/1807/01/09/pdfs/GMD-1807-3.pdf#page=7","Abrir facsímil")</f>
        <v>Abrir facsímil</v>
      </c>
      <c r="K1620" s="15" t="s">
        <v>22</v>
      </c>
    </row>
    <row r="1621" spans="1:11" ht="42" customHeight="1">
      <c r="A1621" s="4" t="s">
        <v>4135</v>
      </c>
      <c r="B1621" s="5" t="s">
        <v>4136</v>
      </c>
      <c r="C1621" s="5" t="s">
        <v>34</v>
      </c>
      <c r="D1621" s="5" t="s">
        <v>35</v>
      </c>
      <c r="E1621" s="5" t="s">
        <v>79</v>
      </c>
      <c r="F1621" s="9">
        <v>11</v>
      </c>
      <c r="G1621" s="9">
        <v>126</v>
      </c>
      <c r="H1621" s="5" t="s">
        <v>20</v>
      </c>
      <c r="I1621" s="5" t="s">
        <v>4137</v>
      </c>
      <c r="J1621" s="12" t="str">
        <f>HYPERLINK("https://www.boe.es/gazeta/dias/1807/01/30/pdfs/GMD-1807-11.pdf#page=10","Abrir facsímil")</f>
        <v>Abrir facsímil</v>
      </c>
      <c r="K1621" s="15" t="s">
        <v>22</v>
      </c>
    </row>
    <row r="1622" spans="1:11" ht="42" customHeight="1">
      <c r="A1622" s="4" t="s">
        <v>4135</v>
      </c>
      <c r="B1622" s="5" t="s">
        <v>4136</v>
      </c>
      <c r="C1622" s="5" t="s">
        <v>28</v>
      </c>
      <c r="D1622" s="5" t="s">
        <v>29</v>
      </c>
      <c r="E1622" s="5" t="s">
        <v>561</v>
      </c>
      <c r="F1622" s="9">
        <v>44</v>
      </c>
      <c r="G1622" s="9">
        <v>526</v>
      </c>
      <c r="H1622" s="5" t="s">
        <v>20</v>
      </c>
      <c r="I1622" s="5" t="s">
        <v>4138</v>
      </c>
      <c r="J1622" s="12" t="str">
        <f>HYPERLINK("https://www.boe.es/gazeta/dias/1807/05/22/pdfs/GMD-1807-44.pdf#page=8","Abrir facsímil")</f>
        <v>Abrir facsímil</v>
      </c>
      <c r="K1622" s="15" t="s">
        <v>22</v>
      </c>
    </row>
    <row r="1623" spans="1:11" ht="42" customHeight="1">
      <c r="A1623" s="4" t="s">
        <v>4135</v>
      </c>
      <c r="B1623" s="5" t="s">
        <v>4136</v>
      </c>
      <c r="C1623" s="5" t="s">
        <v>28</v>
      </c>
      <c r="D1623" s="5" t="s">
        <v>29</v>
      </c>
      <c r="E1623" s="5" t="s">
        <v>25</v>
      </c>
      <c r="F1623" s="9">
        <v>45</v>
      </c>
      <c r="G1623" s="9">
        <v>538</v>
      </c>
      <c r="H1623" s="5" t="s">
        <v>20</v>
      </c>
      <c r="I1623" s="5" t="s">
        <v>4139</v>
      </c>
      <c r="J1623" s="12" t="str">
        <f>HYPERLINK("https://www.boe.es/gazeta/dias/1807/05/26/pdfs/GMD-1807-45.pdf#page=8","Abrir facsímil")</f>
        <v>Abrir facsímil</v>
      </c>
      <c r="K1623" s="15" t="s">
        <v>22</v>
      </c>
    </row>
    <row r="1624" spans="1:11" ht="42" customHeight="1">
      <c r="A1624" s="4" t="s">
        <v>4140</v>
      </c>
      <c r="B1624" s="5" t="s">
        <v>4141</v>
      </c>
      <c r="C1624" s="5" t="s">
        <v>34</v>
      </c>
      <c r="D1624" s="5" t="s">
        <v>35</v>
      </c>
      <c r="E1624" s="5" t="s">
        <v>478</v>
      </c>
      <c r="F1624" s="9">
        <v>30</v>
      </c>
      <c r="G1624" s="9">
        <v>357</v>
      </c>
      <c r="H1624" s="5" t="s">
        <v>20</v>
      </c>
      <c r="I1624" s="5" t="s">
        <v>4142</v>
      </c>
      <c r="J1624" s="12" t="str">
        <f>HYPERLINK("https://www.boe.es/gazeta/dias/1807/04/03/pdfs/GMD-1807-30.pdf#page=9","Abrir facsímil")</f>
        <v>Abrir facsímil</v>
      </c>
      <c r="K1624" s="15" t="s">
        <v>22</v>
      </c>
    </row>
    <row r="1625" spans="1:11" ht="42" customHeight="1">
      <c r="A1625" s="4" t="s">
        <v>4143</v>
      </c>
      <c r="B1625" s="5" t="s">
        <v>4144</v>
      </c>
      <c r="C1625" s="5" t="s">
        <v>17</v>
      </c>
      <c r="D1625" s="5" t="s">
        <v>18</v>
      </c>
      <c r="E1625" s="5" t="s">
        <v>42</v>
      </c>
      <c r="F1625" s="9">
        <v>31</v>
      </c>
      <c r="G1625" s="9">
        <v>368</v>
      </c>
      <c r="H1625" s="5" t="s">
        <v>20</v>
      </c>
      <c r="I1625" s="5" t="s">
        <v>4145</v>
      </c>
      <c r="J1625" s="12" t="str">
        <f>HYPERLINK("https://www.boe.es/gazeta/dias/1807/04/07/pdfs/GMD-1807-31.pdf#page=8","Abrir facsímil")</f>
        <v>Abrir facsímil</v>
      </c>
      <c r="K1625" s="15" t="s">
        <v>22</v>
      </c>
    </row>
    <row r="1626" spans="1:11" ht="42" customHeight="1">
      <c r="A1626" s="4" t="s">
        <v>4146</v>
      </c>
      <c r="B1626" s="5" t="s">
        <v>4147</v>
      </c>
      <c r="C1626" s="5" t="s">
        <v>89</v>
      </c>
      <c r="D1626" s="5" t="s">
        <v>90</v>
      </c>
      <c r="E1626" s="5" t="s">
        <v>296</v>
      </c>
      <c r="F1626" s="9">
        <v>102</v>
      </c>
      <c r="G1626" s="9">
        <v>1191</v>
      </c>
      <c r="H1626" s="5" t="s">
        <v>20</v>
      </c>
      <c r="I1626" s="5" t="s">
        <v>4148</v>
      </c>
      <c r="J1626" s="12" t="str">
        <f>HYPERLINK("https://www.boe.es/gazeta/dias/1807/11/17/pdfs/GMD-1807-102.pdf#page=11","Abrir facsímil")</f>
        <v>Abrir facsímil</v>
      </c>
      <c r="K1626" s="15" t="s">
        <v>22</v>
      </c>
    </row>
    <row r="1627" spans="1:11" ht="42" customHeight="1">
      <c r="A1627" s="4" t="s">
        <v>4149</v>
      </c>
      <c r="B1627" s="5" t="s">
        <v>4150</v>
      </c>
      <c r="C1627" s="5" t="s">
        <v>28</v>
      </c>
      <c r="D1627" s="5" t="s">
        <v>29</v>
      </c>
      <c r="E1627" s="5" t="s">
        <v>94</v>
      </c>
      <c r="F1627" s="9">
        <v>22</v>
      </c>
      <c r="G1627" s="9">
        <v>254</v>
      </c>
      <c r="H1627" s="5" t="s">
        <v>20</v>
      </c>
      <c r="I1627" s="5" t="s">
        <v>4151</v>
      </c>
      <c r="J1627" s="12" t="str">
        <f>HYPERLINK("https://www.boe.es/gazeta/dias/1807/03/06/pdfs/GMD-1807-22.pdf#page=6","Abrir facsímil")</f>
        <v>Abrir facsímil</v>
      </c>
      <c r="K1627" s="15" t="s">
        <v>22</v>
      </c>
    </row>
    <row r="1628" spans="1:11" ht="42" customHeight="1">
      <c r="A1628" s="4" t="s">
        <v>4152</v>
      </c>
      <c r="B1628" s="5" t="s">
        <v>4153</v>
      </c>
      <c r="C1628" s="5" t="s">
        <v>24</v>
      </c>
      <c r="D1628" s="5" t="s">
        <v>18</v>
      </c>
      <c r="E1628" s="5" t="s">
        <v>464</v>
      </c>
      <c r="F1628" s="9">
        <v>18</v>
      </c>
      <c r="G1628" s="9">
        <v>212</v>
      </c>
      <c r="H1628" s="5" t="s">
        <v>20</v>
      </c>
      <c r="I1628" s="5" t="s">
        <v>4154</v>
      </c>
      <c r="J1628" s="12" t="str">
        <f>HYPERLINK("https://www.boe.es/gazeta/dias/1807/02/24/pdfs/GMD-1807-18.pdf#page=12","Abrir facsímil")</f>
        <v>Abrir facsímil</v>
      </c>
      <c r="K1628" s="15" t="s">
        <v>22</v>
      </c>
    </row>
    <row r="1629" spans="1:11" ht="42" customHeight="1">
      <c r="A1629" s="4" t="s">
        <v>4155</v>
      </c>
      <c r="B1629" s="5" t="s">
        <v>4156</v>
      </c>
      <c r="C1629" s="5" t="s">
        <v>28</v>
      </c>
      <c r="D1629" s="5" t="s">
        <v>29</v>
      </c>
      <c r="E1629" s="5" t="s">
        <v>46</v>
      </c>
      <c r="F1629" s="9">
        <v>78</v>
      </c>
      <c r="G1629" s="9">
        <v>904</v>
      </c>
      <c r="H1629" s="5" t="s">
        <v>20</v>
      </c>
      <c r="I1629" s="5" t="s">
        <v>4157</v>
      </c>
      <c r="J1629" s="12" t="str">
        <f>HYPERLINK("https://www.boe.es/gazeta/dias/1807/09/01/pdfs/GMD-1807-78.pdf#page=8","Abrir facsímil")</f>
        <v>Abrir facsímil</v>
      </c>
      <c r="K1629" s="15" t="s">
        <v>22</v>
      </c>
    </row>
    <row r="1630" spans="1:11" ht="42" customHeight="1">
      <c r="A1630" s="4" t="s">
        <v>4158</v>
      </c>
      <c r="B1630" s="5" t="s">
        <v>4159</v>
      </c>
      <c r="C1630" s="5" t="s">
        <v>34</v>
      </c>
      <c r="D1630" s="5" t="s">
        <v>35</v>
      </c>
      <c r="E1630" s="5" t="s">
        <v>1934</v>
      </c>
      <c r="F1630" s="9">
        <v>2</v>
      </c>
      <c r="G1630" s="9">
        <v>20</v>
      </c>
      <c r="H1630" s="5" t="s">
        <v>20</v>
      </c>
      <c r="I1630" s="5" t="s">
        <v>4160</v>
      </c>
      <c r="J1630" s="12" t="str">
        <f>HYPERLINK("https://www.boe.es/gazeta/dias/1807/01/06/pdfs/GMD-1807-2.pdf#page=8","Abrir facsímil")</f>
        <v>Abrir facsímil</v>
      </c>
      <c r="K1630" s="15" t="s">
        <v>22</v>
      </c>
    </row>
    <row r="1631" spans="1:11" ht="42" customHeight="1">
      <c r="A1631" s="4" t="s">
        <v>4158</v>
      </c>
      <c r="B1631" s="5" t="s">
        <v>4159</v>
      </c>
      <c r="C1631" s="5" t="s">
        <v>24</v>
      </c>
      <c r="D1631" s="5" t="s">
        <v>18</v>
      </c>
      <c r="E1631" s="5" t="s">
        <v>259</v>
      </c>
      <c r="F1631" s="9">
        <v>3</v>
      </c>
      <c r="G1631" s="9">
        <v>31</v>
      </c>
      <c r="H1631" s="5" t="s">
        <v>20</v>
      </c>
      <c r="I1631" s="5" t="s">
        <v>4161</v>
      </c>
      <c r="J1631" s="12" t="str">
        <f>HYPERLINK("https://www.boe.es/gazeta/dias/1807/01/09/pdfs/GMD-1807-3.pdf#page=11","Abrir facsímil")</f>
        <v>Abrir facsímil</v>
      </c>
      <c r="K1631" s="15" t="s">
        <v>22</v>
      </c>
    </row>
    <row r="1632" spans="1:11" ht="42" customHeight="1">
      <c r="A1632" s="4" t="s">
        <v>4158</v>
      </c>
      <c r="B1632" s="5" t="s">
        <v>4159</v>
      </c>
      <c r="C1632" s="5" t="s">
        <v>34</v>
      </c>
      <c r="D1632" s="5" t="s">
        <v>35</v>
      </c>
      <c r="E1632" s="5" t="s">
        <v>215</v>
      </c>
      <c r="F1632" s="9">
        <v>5</v>
      </c>
      <c r="G1632" s="9">
        <v>55</v>
      </c>
      <c r="H1632" s="5" t="s">
        <v>20</v>
      </c>
      <c r="I1632" s="5" t="s">
        <v>4162</v>
      </c>
      <c r="J1632" s="12" t="str">
        <f>HYPERLINK("https://www.boe.es/gazeta/dias/1807/01/16/pdfs/GMD-1807-5.pdf#page=11","Abrir facsímil")</f>
        <v>Abrir facsímil</v>
      </c>
      <c r="K1632" s="15" t="s">
        <v>22</v>
      </c>
    </row>
    <row r="1633" spans="1:11" ht="42" customHeight="1">
      <c r="A1633" s="4" t="s">
        <v>4158</v>
      </c>
      <c r="B1633" s="5" t="s">
        <v>4159</v>
      </c>
      <c r="C1633" s="5" t="s">
        <v>24</v>
      </c>
      <c r="D1633" s="5" t="s">
        <v>18</v>
      </c>
      <c r="E1633" s="5" t="s">
        <v>104</v>
      </c>
      <c r="F1633" s="9">
        <v>25</v>
      </c>
      <c r="G1633" s="9">
        <v>303</v>
      </c>
      <c r="H1633" s="5" t="s">
        <v>20</v>
      </c>
      <c r="I1633" s="5" t="s">
        <v>4163</v>
      </c>
      <c r="J1633" s="12" t="str">
        <f>HYPERLINK("https://www.boe.es/gazeta/dias/1807/03/17/pdfs/GMD-1807-25.pdf#page=11","Abrir facsímil")</f>
        <v>Abrir facsímil</v>
      </c>
      <c r="K1633" s="15" t="s">
        <v>22</v>
      </c>
    </row>
    <row r="1634" spans="1:11" ht="42" customHeight="1">
      <c r="A1634" s="4" t="s">
        <v>4158</v>
      </c>
      <c r="B1634" s="5" t="s">
        <v>4159</v>
      </c>
      <c r="C1634" s="5" t="s">
        <v>24</v>
      </c>
      <c r="D1634" s="5" t="s">
        <v>18</v>
      </c>
      <c r="E1634" s="5" t="s">
        <v>98</v>
      </c>
      <c r="F1634" s="9">
        <v>34</v>
      </c>
      <c r="G1634" s="9">
        <v>407</v>
      </c>
      <c r="H1634" s="5" t="s">
        <v>20</v>
      </c>
      <c r="I1634" s="5" t="s">
        <v>4164</v>
      </c>
      <c r="J1634" s="12" t="str">
        <f>HYPERLINK("https://www.boe.es/gazeta/dias/1807/04/17/pdfs/GMD-1807-34.pdf#page=11","Abrir facsímil")</f>
        <v>Abrir facsímil</v>
      </c>
      <c r="K1634" s="15" t="s">
        <v>22</v>
      </c>
    </row>
    <row r="1635" spans="1:11" ht="42" customHeight="1">
      <c r="A1635" s="4" t="s">
        <v>4158</v>
      </c>
      <c r="B1635" s="5" t="s">
        <v>4159</v>
      </c>
      <c r="C1635" s="5" t="s">
        <v>89</v>
      </c>
      <c r="D1635" s="5" t="s">
        <v>90</v>
      </c>
      <c r="E1635" s="5" t="s">
        <v>190</v>
      </c>
      <c r="F1635" s="9">
        <v>37</v>
      </c>
      <c r="G1635" s="9">
        <v>444</v>
      </c>
      <c r="H1635" s="5" t="s">
        <v>20</v>
      </c>
      <c r="I1635" s="5" t="s">
        <v>4165</v>
      </c>
      <c r="J1635" s="12" t="str">
        <f>HYPERLINK("https://www.boe.es/gazeta/dias/1807/04/28/pdfs/GMD-1807-37.pdf#page=12","Abrir facsímil")</f>
        <v>Abrir facsímil</v>
      </c>
      <c r="K1635" s="15" t="s">
        <v>22</v>
      </c>
    </row>
    <row r="1636" spans="1:11" ht="42" customHeight="1">
      <c r="A1636" s="4" t="s">
        <v>4158</v>
      </c>
      <c r="B1636" s="5" t="s">
        <v>4159</v>
      </c>
      <c r="C1636" s="5" t="s">
        <v>34</v>
      </c>
      <c r="D1636" s="5" t="s">
        <v>35</v>
      </c>
      <c r="E1636" s="5" t="s">
        <v>414</v>
      </c>
      <c r="F1636" s="9">
        <v>40</v>
      </c>
      <c r="G1636" s="9">
        <v>480</v>
      </c>
      <c r="H1636" s="5" t="s">
        <v>20</v>
      </c>
      <c r="I1636" s="5" t="s">
        <v>4166</v>
      </c>
      <c r="J1636" s="12" t="str">
        <f>HYPERLINK("https://www.boe.es/gazeta/dias/1807/05/08/pdfs/GMD-1807-40.pdf#page=10","Abrir facsímil")</f>
        <v>Abrir facsímil</v>
      </c>
      <c r="K1636" s="15" t="s">
        <v>22</v>
      </c>
    </row>
    <row r="1637" spans="1:11" ht="42" customHeight="1">
      <c r="A1637" s="4" t="s">
        <v>4158</v>
      </c>
      <c r="B1637" s="5" t="s">
        <v>4159</v>
      </c>
      <c r="C1637" s="5" t="s">
        <v>24</v>
      </c>
      <c r="D1637" s="5" t="s">
        <v>18</v>
      </c>
      <c r="E1637" s="5" t="s">
        <v>414</v>
      </c>
      <c r="F1637" s="9">
        <v>40</v>
      </c>
      <c r="G1637" s="9">
        <v>481</v>
      </c>
      <c r="H1637" s="5" t="s">
        <v>20</v>
      </c>
      <c r="I1637" s="5" t="s">
        <v>4167</v>
      </c>
      <c r="J1637" s="12" t="str">
        <f>HYPERLINK("https://www.boe.es/gazeta/dias/1807/05/08/pdfs/GMD-1807-40.pdf#page=11","Abrir facsímil")</f>
        <v>Abrir facsímil</v>
      </c>
      <c r="K1637" s="15" t="s">
        <v>22</v>
      </c>
    </row>
    <row r="1638" spans="1:11" ht="42" customHeight="1">
      <c r="A1638" s="4" t="s">
        <v>4158</v>
      </c>
      <c r="B1638" s="5" t="s">
        <v>4159</v>
      </c>
      <c r="C1638" s="5" t="s">
        <v>34</v>
      </c>
      <c r="D1638" s="5" t="s">
        <v>35</v>
      </c>
      <c r="E1638" s="5" t="s">
        <v>156</v>
      </c>
      <c r="F1638" s="9">
        <v>74</v>
      </c>
      <c r="G1638" s="9">
        <v>859</v>
      </c>
      <c r="H1638" s="5" t="s">
        <v>20</v>
      </c>
      <c r="I1638" s="5" t="s">
        <v>4168</v>
      </c>
      <c r="J1638" s="12" t="str">
        <f>HYPERLINK("https://www.boe.es/gazeta/dias/1807/08/18/pdfs/GMD-1807-74.pdf#page=11","Abrir facsímil")</f>
        <v>Abrir facsímil</v>
      </c>
      <c r="K1638" s="15" t="s">
        <v>22</v>
      </c>
    </row>
    <row r="1639" spans="1:11" ht="42" customHeight="1">
      <c r="A1639" s="4" t="s">
        <v>4169</v>
      </c>
      <c r="B1639" s="5" t="s">
        <v>4170</v>
      </c>
      <c r="C1639" s="5" t="s">
        <v>34</v>
      </c>
      <c r="D1639" s="5" t="s">
        <v>35</v>
      </c>
      <c r="E1639" s="5" t="s">
        <v>111</v>
      </c>
      <c r="F1639" s="9">
        <v>90</v>
      </c>
      <c r="G1639" s="9">
        <v>1044</v>
      </c>
      <c r="H1639" s="5" t="s">
        <v>20</v>
      </c>
      <c r="I1639" s="5" t="s">
        <v>4171</v>
      </c>
      <c r="J1639" s="12" t="str">
        <f>HYPERLINK("https://www.boe.es/gazeta/dias/1807/10/06/pdfs/GMD-1807-90.pdf#page=12","Abrir facsímil")</f>
        <v>Abrir facsímil</v>
      </c>
      <c r="K1639" s="15" t="s">
        <v>22</v>
      </c>
    </row>
    <row r="1640" spans="1:11" ht="42" customHeight="1">
      <c r="A1640" s="4" t="s">
        <v>4172</v>
      </c>
      <c r="B1640" s="5" t="s">
        <v>4173</v>
      </c>
      <c r="C1640" s="5" t="s">
        <v>24</v>
      </c>
      <c r="D1640" s="5" t="s">
        <v>18</v>
      </c>
      <c r="E1640" s="5" t="s">
        <v>301</v>
      </c>
      <c r="F1640" s="9">
        <v>89</v>
      </c>
      <c r="G1640" s="9">
        <v>1031</v>
      </c>
      <c r="H1640" s="5" t="s">
        <v>20</v>
      </c>
      <c r="I1640" s="5" t="s">
        <v>4174</v>
      </c>
      <c r="J1640" s="12" t="str">
        <f>HYPERLINK("https://www.boe.es/gazeta/dias/1807/10/02/pdfs/GMD-1807-89.pdf#page=11","Abrir facsímil")</f>
        <v>Abrir facsímil</v>
      </c>
      <c r="K1640" s="15" t="s">
        <v>22</v>
      </c>
    </row>
    <row r="1641" spans="1:11" ht="42" customHeight="1">
      <c r="A1641" s="4" t="s">
        <v>4175</v>
      </c>
      <c r="B1641" s="5" t="s">
        <v>4176</v>
      </c>
      <c r="C1641" s="5" t="s">
        <v>28</v>
      </c>
      <c r="D1641" s="5" t="s">
        <v>29</v>
      </c>
      <c r="E1641" s="5" t="s">
        <v>572</v>
      </c>
      <c r="F1641" s="9">
        <v>14</v>
      </c>
      <c r="G1641" s="9">
        <v>163</v>
      </c>
      <c r="H1641" s="5" t="s">
        <v>20</v>
      </c>
      <c r="I1641" s="5" t="s">
        <v>4177</v>
      </c>
      <c r="J1641" s="12" t="str">
        <f>HYPERLINK("https://www.boe.es/gazeta/dias/1807/02/10/pdfs/GMD-1807-14.pdf#page=11","Abrir facsímil")</f>
        <v>Abrir facsímil</v>
      </c>
      <c r="K1641" s="15" t="s">
        <v>22</v>
      </c>
    </row>
    <row r="1642" spans="1:11" ht="42" customHeight="1">
      <c r="A1642" s="4" t="s">
        <v>4175</v>
      </c>
      <c r="B1642" s="5" t="s">
        <v>4176</v>
      </c>
      <c r="C1642" s="5" t="s">
        <v>28</v>
      </c>
      <c r="D1642" s="5" t="s">
        <v>29</v>
      </c>
      <c r="E1642" s="5" t="s">
        <v>42</v>
      </c>
      <c r="F1642" s="9">
        <v>31</v>
      </c>
      <c r="G1642" s="9">
        <v>367</v>
      </c>
      <c r="H1642" s="5" t="s">
        <v>20</v>
      </c>
      <c r="I1642" s="5" t="s">
        <v>4178</v>
      </c>
      <c r="J1642" s="12" t="str">
        <f>HYPERLINK("https://www.boe.es/gazeta/dias/1807/04/07/pdfs/GMD-1807-31.pdf#page=7","Abrir facsímil")</f>
        <v>Abrir facsímil</v>
      </c>
      <c r="K1642" s="15" t="s">
        <v>22</v>
      </c>
    </row>
    <row r="1643" spans="1:11" ht="42" customHeight="1">
      <c r="A1643" s="4" t="s">
        <v>4175</v>
      </c>
      <c r="B1643" s="5" t="s">
        <v>4176</v>
      </c>
      <c r="C1643" s="5" t="s">
        <v>69</v>
      </c>
      <c r="D1643" s="5" t="s">
        <v>70</v>
      </c>
      <c r="E1643" s="5" t="s">
        <v>71</v>
      </c>
      <c r="F1643" s="9">
        <v>35</v>
      </c>
      <c r="G1643" s="9" t="s">
        <v>197</v>
      </c>
      <c r="H1643" s="5" t="s">
        <v>20</v>
      </c>
      <c r="I1643" s="5" t="s">
        <v>4179</v>
      </c>
      <c r="J1643" s="12" t="str">
        <f>HYPERLINK("https://www.boe.es/gazeta/dias/1807/04/21/pdfs/C00001-00004.pdf#page=3","Abrir facsímil")</f>
        <v>Abrir facsímil</v>
      </c>
      <c r="K1643" s="15" t="s">
        <v>22</v>
      </c>
    </row>
    <row r="1644" spans="1:11" ht="42" customHeight="1">
      <c r="A1644" s="4" t="s">
        <v>4175</v>
      </c>
      <c r="B1644" s="5" t="s">
        <v>4176</v>
      </c>
      <c r="C1644" s="5" t="s">
        <v>28</v>
      </c>
      <c r="D1644" s="5" t="s">
        <v>29</v>
      </c>
      <c r="E1644" s="5" t="s">
        <v>186</v>
      </c>
      <c r="F1644" s="9">
        <v>72</v>
      </c>
      <c r="G1644" s="9">
        <v>828</v>
      </c>
      <c r="H1644" s="5" t="s">
        <v>20</v>
      </c>
      <c r="I1644" s="5" t="s">
        <v>4180</v>
      </c>
      <c r="J1644" s="12" t="str">
        <f>HYPERLINK("https://www.boe.es/gazeta/dias/1807/08/11/pdfs/GMD-1807-72.pdf#page=8","Abrir facsímil")</f>
        <v>Abrir facsímil</v>
      </c>
      <c r="K1644" s="15" t="s">
        <v>22</v>
      </c>
    </row>
    <row r="1645" spans="1:11" ht="42" customHeight="1">
      <c r="A1645" s="4" t="s">
        <v>4181</v>
      </c>
      <c r="B1645" s="5" t="s">
        <v>4182</v>
      </c>
      <c r="C1645" s="5" t="s">
        <v>17</v>
      </c>
      <c r="D1645" s="5" t="s">
        <v>18</v>
      </c>
      <c r="E1645" s="5" t="s">
        <v>208</v>
      </c>
      <c r="F1645" s="9">
        <v>42</v>
      </c>
      <c r="G1645" s="9">
        <v>501</v>
      </c>
      <c r="H1645" s="5" t="s">
        <v>20</v>
      </c>
      <c r="I1645" s="5" t="s">
        <v>4183</v>
      </c>
      <c r="J1645" s="12" t="str">
        <f>HYPERLINK("https://www.boe.es/gazeta/dias/1807/05/15/pdfs/GMD-1807-42.pdf#page=7","Abrir facsímil")</f>
        <v>Abrir facsímil</v>
      </c>
      <c r="K1645" s="15" t="s">
        <v>22</v>
      </c>
    </row>
    <row r="1646" spans="1:11" ht="42" customHeight="1">
      <c r="A1646" s="4" t="s">
        <v>4184</v>
      </c>
      <c r="B1646" s="5" t="s">
        <v>4185</v>
      </c>
      <c r="C1646" s="5" t="s">
        <v>34</v>
      </c>
      <c r="D1646" s="5" t="s">
        <v>35</v>
      </c>
      <c r="E1646" s="5" t="s">
        <v>245</v>
      </c>
      <c r="F1646" s="9">
        <v>97</v>
      </c>
      <c r="G1646" s="9">
        <v>1127</v>
      </c>
      <c r="H1646" s="5" t="s">
        <v>20</v>
      </c>
      <c r="I1646" s="5" t="s">
        <v>4186</v>
      </c>
      <c r="J1646" s="12" t="str">
        <f>HYPERLINK("https://www.boe.es/gazeta/dias/1807/10/30/pdfs/GMD-1807-97.pdf#page=7","Abrir facsímil")</f>
        <v>Abrir facsímil</v>
      </c>
      <c r="K1646" s="15" t="s">
        <v>22</v>
      </c>
    </row>
    <row r="1647" spans="1:11" ht="42" customHeight="1">
      <c r="A1647" s="4" t="s">
        <v>4187</v>
      </c>
      <c r="B1647" s="5" t="s">
        <v>4188</v>
      </c>
      <c r="C1647" s="5" t="s">
        <v>69</v>
      </c>
      <c r="D1647" s="5" t="s">
        <v>70</v>
      </c>
      <c r="E1647" s="5" t="s">
        <v>71</v>
      </c>
      <c r="F1647" s="9">
        <v>35</v>
      </c>
      <c r="G1647" s="9" t="s">
        <v>1485</v>
      </c>
      <c r="H1647" s="5" t="s">
        <v>20</v>
      </c>
      <c r="I1647" s="5" t="s">
        <v>4189</v>
      </c>
      <c r="J1647" s="12" t="str">
        <f>HYPERLINK("https://www.boe.es/gazeta/dias/1807/04/21/pdfs/C00001-00004.pdf#page=4","Abrir facsímil")</f>
        <v>Abrir facsímil</v>
      </c>
      <c r="K1647" s="15" t="s">
        <v>22</v>
      </c>
    </row>
    <row r="1648" spans="1:11" ht="42" customHeight="1">
      <c r="A1648" s="4" t="s">
        <v>4190</v>
      </c>
      <c r="B1648" s="5" t="s">
        <v>4191</v>
      </c>
      <c r="C1648" s="5" t="s">
        <v>24</v>
      </c>
      <c r="D1648" s="5" t="s">
        <v>18</v>
      </c>
      <c r="E1648" s="5" t="s">
        <v>167</v>
      </c>
      <c r="F1648" s="9">
        <v>77</v>
      </c>
      <c r="G1648" s="9">
        <v>895</v>
      </c>
      <c r="H1648" s="5" t="s">
        <v>20</v>
      </c>
      <c r="I1648" s="5" t="s">
        <v>4192</v>
      </c>
      <c r="J1648" s="12" t="str">
        <f>HYPERLINK("https://www.boe.es/gazeta/dias/1807/08/28/pdfs/GMD-1807-77.pdf#page=11","Abrir facsímil")</f>
        <v>Abrir facsímil</v>
      </c>
      <c r="K1648" s="15" t="s">
        <v>22</v>
      </c>
    </row>
    <row r="1649" spans="1:11" ht="42" customHeight="1">
      <c r="A1649" s="4" t="s">
        <v>4193</v>
      </c>
      <c r="B1649" s="5" t="s">
        <v>4194</v>
      </c>
      <c r="C1649" s="5" t="s">
        <v>17</v>
      </c>
      <c r="D1649" s="5" t="s">
        <v>18</v>
      </c>
      <c r="E1649" s="5" t="s">
        <v>79</v>
      </c>
      <c r="F1649" s="9">
        <v>11</v>
      </c>
      <c r="G1649" s="9">
        <v>120</v>
      </c>
      <c r="H1649" s="5" t="s">
        <v>20</v>
      </c>
      <c r="I1649" s="5" t="s">
        <v>4195</v>
      </c>
      <c r="J1649" s="12" t="str">
        <f>HYPERLINK("https://www.boe.es/gazeta/dias/1807/01/30/pdfs/GMD-1807-11.pdf#page=4","Abrir facsímil")</f>
        <v>Abrir facsímil</v>
      </c>
      <c r="K1649" s="15" t="s">
        <v>22</v>
      </c>
    </row>
    <row r="1650" spans="1:11" ht="42" customHeight="1">
      <c r="A1650" s="4" t="s">
        <v>4193</v>
      </c>
      <c r="B1650" s="5" t="s">
        <v>4194</v>
      </c>
      <c r="C1650" s="5" t="s">
        <v>17</v>
      </c>
      <c r="D1650" s="5" t="s">
        <v>18</v>
      </c>
      <c r="E1650" s="5" t="s">
        <v>30</v>
      </c>
      <c r="F1650" s="9">
        <v>13</v>
      </c>
      <c r="G1650" s="9">
        <v>149</v>
      </c>
      <c r="H1650" s="5" t="s">
        <v>20</v>
      </c>
      <c r="I1650" s="5" t="s">
        <v>4196</v>
      </c>
      <c r="J1650" s="12" t="str">
        <f>HYPERLINK("https://www.boe.es/gazeta/dias/1807/02/06/pdfs/GMD-1807-13.pdf#page=9","Abrir facsímil")</f>
        <v>Abrir facsímil</v>
      </c>
      <c r="K1650" s="15" t="s">
        <v>22</v>
      </c>
    </row>
    <row r="1651" spans="1:11" ht="42" customHeight="1">
      <c r="A1651" s="4" t="s">
        <v>4193</v>
      </c>
      <c r="B1651" s="5" t="s">
        <v>4194</v>
      </c>
      <c r="C1651" s="5" t="s">
        <v>17</v>
      </c>
      <c r="D1651" s="5" t="s">
        <v>18</v>
      </c>
      <c r="E1651" s="5" t="s">
        <v>464</v>
      </c>
      <c r="F1651" s="9">
        <v>18</v>
      </c>
      <c r="G1651" s="9">
        <v>206</v>
      </c>
      <c r="H1651" s="5" t="s">
        <v>20</v>
      </c>
      <c r="I1651" s="5" t="s">
        <v>4197</v>
      </c>
      <c r="J1651" s="12" t="str">
        <f>HYPERLINK("https://www.boe.es/gazeta/dias/1807/02/24/pdfs/GMD-1807-18.pdf#page=6","Abrir facsímil")</f>
        <v>Abrir facsímil</v>
      </c>
      <c r="K1651" s="15" t="s">
        <v>22</v>
      </c>
    </row>
    <row r="1652" spans="1:11" ht="42" customHeight="1">
      <c r="A1652" s="4" t="s">
        <v>4198</v>
      </c>
      <c r="B1652" s="5" t="s">
        <v>4199</v>
      </c>
      <c r="C1652" s="5" t="s">
        <v>49</v>
      </c>
      <c r="D1652" s="5" t="s">
        <v>50</v>
      </c>
      <c r="E1652" s="5" t="s">
        <v>384</v>
      </c>
      <c r="F1652" s="9">
        <v>111</v>
      </c>
      <c r="G1652" s="9">
        <v>1292</v>
      </c>
      <c r="H1652" s="5" t="s">
        <v>20</v>
      </c>
      <c r="I1652" s="5" t="s">
        <v>4200</v>
      </c>
      <c r="J1652" s="12" t="str">
        <f>HYPERLINK("https://www.boe.es/gazeta/dias/1807/12/15/pdfs/GMD-1807-111.pdf#page=4","Abrir facsímil")</f>
        <v>Abrir facsímil</v>
      </c>
      <c r="K1652" s="15" t="s">
        <v>22</v>
      </c>
    </row>
    <row r="1653" spans="1:11" ht="42" customHeight="1">
      <c r="A1653" s="4" t="s">
        <v>4201</v>
      </c>
      <c r="B1653" s="5" t="s">
        <v>4202</v>
      </c>
      <c r="C1653" s="5" t="s">
        <v>28</v>
      </c>
      <c r="D1653" s="5" t="s">
        <v>29</v>
      </c>
      <c r="E1653" s="5" t="s">
        <v>42</v>
      </c>
      <c r="F1653" s="9">
        <v>31</v>
      </c>
      <c r="G1653" s="9">
        <v>367</v>
      </c>
      <c r="H1653" s="5" t="s">
        <v>20</v>
      </c>
      <c r="I1653" s="5" t="s">
        <v>4203</v>
      </c>
      <c r="J1653" s="12" t="str">
        <f>HYPERLINK("https://www.boe.es/gazeta/dias/1807/04/07/pdfs/GMD-1807-31.pdf#page=7","Abrir facsímil")</f>
        <v>Abrir facsímil</v>
      </c>
      <c r="K1653" s="15" t="s">
        <v>22</v>
      </c>
    </row>
    <row r="1654" spans="1:11" ht="42" customHeight="1">
      <c r="A1654" s="4" t="s">
        <v>4201</v>
      </c>
      <c r="B1654" s="5" t="s">
        <v>4202</v>
      </c>
      <c r="C1654" s="5" t="s">
        <v>28</v>
      </c>
      <c r="D1654" s="5" t="s">
        <v>29</v>
      </c>
      <c r="E1654" s="5" t="s">
        <v>186</v>
      </c>
      <c r="F1654" s="9">
        <v>72</v>
      </c>
      <c r="G1654" s="9">
        <v>828</v>
      </c>
      <c r="H1654" s="5" t="s">
        <v>20</v>
      </c>
      <c r="I1654" s="5" t="s">
        <v>4204</v>
      </c>
      <c r="J1654" s="12" t="str">
        <f>HYPERLINK("https://www.boe.es/gazeta/dias/1807/08/11/pdfs/GMD-1807-72.pdf#page=8","Abrir facsímil")</f>
        <v>Abrir facsímil</v>
      </c>
      <c r="K1654" s="15" t="s">
        <v>22</v>
      </c>
    </row>
    <row r="1655" spans="1:11" ht="42" customHeight="1">
      <c r="A1655" s="4" t="s">
        <v>4205</v>
      </c>
      <c r="B1655" s="5" t="s">
        <v>4206</v>
      </c>
      <c r="C1655" s="5" t="s">
        <v>28</v>
      </c>
      <c r="D1655" s="5" t="s">
        <v>29</v>
      </c>
      <c r="E1655" s="5" t="s">
        <v>42</v>
      </c>
      <c r="F1655" s="9">
        <v>31</v>
      </c>
      <c r="G1655" s="9">
        <v>367</v>
      </c>
      <c r="H1655" s="5" t="s">
        <v>20</v>
      </c>
      <c r="I1655" s="5" t="s">
        <v>4207</v>
      </c>
      <c r="J1655" s="12" t="str">
        <f>HYPERLINK("https://www.boe.es/gazeta/dias/1807/04/07/pdfs/GMD-1807-31.pdf#page=7","Abrir facsímil")</f>
        <v>Abrir facsímil</v>
      </c>
      <c r="K1655" s="15" t="s">
        <v>22</v>
      </c>
    </row>
    <row r="1656" spans="1:11" ht="42" customHeight="1">
      <c r="A1656" s="4" t="s">
        <v>4205</v>
      </c>
      <c r="B1656" s="5" t="s">
        <v>4206</v>
      </c>
      <c r="C1656" s="5" t="s">
        <v>28</v>
      </c>
      <c r="D1656" s="5" t="s">
        <v>29</v>
      </c>
      <c r="E1656" s="5" t="s">
        <v>186</v>
      </c>
      <c r="F1656" s="9">
        <v>72</v>
      </c>
      <c r="G1656" s="9">
        <v>828</v>
      </c>
      <c r="H1656" s="5" t="s">
        <v>20</v>
      </c>
      <c r="I1656" s="5" t="s">
        <v>4208</v>
      </c>
      <c r="J1656" s="12" t="str">
        <f>HYPERLINK("https://www.boe.es/gazeta/dias/1807/08/11/pdfs/GMD-1807-72.pdf#page=8","Abrir facsímil")</f>
        <v>Abrir facsímil</v>
      </c>
      <c r="K1656" s="15" t="s">
        <v>22</v>
      </c>
    </row>
    <row r="1657" spans="1:11" ht="42" customHeight="1">
      <c r="A1657" s="4" t="s">
        <v>4209</v>
      </c>
      <c r="B1657" s="5" t="s">
        <v>4210</v>
      </c>
      <c r="C1657" s="5" t="s">
        <v>17</v>
      </c>
      <c r="D1657" s="5" t="s">
        <v>18</v>
      </c>
      <c r="E1657" s="5" t="s">
        <v>444</v>
      </c>
      <c r="F1657" s="9">
        <v>95</v>
      </c>
      <c r="G1657" s="9">
        <v>1105</v>
      </c>
      <c r="H1657" s="5" t="s">
        <v>20</v>
      </c>
      <c r="I1657" s="5" t="s">
        <v>4211</v>
      </c>
      <c r="J1657" s="12" t="str">
        <f>HYPERLINK("https://www.boe.es/gazeta/dias/1807/10/23/pdfs/GMD-1807-95.pdf#page=9","Abrir facsímil")</f>
        <v>Abrir facsímil</v>
      </c>
      <c r="K1657" s="15" t="s">
        <v>22</v>
      </c>
    </row>
    <row r="1658" spans="1:11" ht="42" customHeight="1">
      <c r="A1658" s="4" t="s">
        <v>4212</v>
      </c>
      <c r="B1658" s="5" t="s">
        <v>4213</v>
      </c>
      <c r="C1658" s="5" t="s">
        <v>34</v>
      </c>
      <c r="D1658" s="5" t="s">
        <v>35</v>
      </c>
      <c r="E1658" s="5" t="s">
        <v>754</v>
      </c>
      <c r="F1658" s="9">
        <v>103</v>
      </c>
      <c r="G1658" s="9">
        <v>1202</v>
      </c>
      <c r="H1658" s="5" t="s">
        <v>20</v>
      </c>
      <c r="I1658" s="5" t="s">
        <v>4214</v>
      </c>
      <c r="J1658" s="12" t="str">
        <f>HYPERLINK("https://www.boe.es/gazeta/dias/1807/11/20/pdfs/GMD-1807-103.pdf#page=10","Abrir facsímil")</f>
        <v>Abrir facsímil</v>
      </c>
      <c r="K1658" s="15" t="s">
        <v>22</v>
      </c>
    </row>
    <row r="1659" spans="1:11" ht="42" customHeight="1">
      <c r="A1659" s="4" t="s">
        <v>4215</v>
      </c>
      <c r="B1659" s="5" t="s">
        <v>4215</v>
      </c>
      <c r="C1659" s="5" t="s">
        <v>34</v>
      </c>
      <c r="D1659" s="5" t="s">
        <v>35</v>
      </c>
      <c r="E1659" s="5" t="s">
        <v>106</v>
      </c>
      <c r="F1659" s="9">
        <v>39</v>
      </c>
      <c r="G1659" s="9">
        <v>465</v>
      </c>
      <c r="H1659" s="5" t="s">
        <v>20</v>
      </c>
      <c r="I1659" s="5" t="s">
        <v>4216</v>
      </c>
      <c r="J1659" s="12" t="str">
        <f>HYPERLINK("https://www.boe.es/gazeta/dias/1807/05/05/pdfs/GMD-1807-39.pdf#page=7","Abrir facsímil")</f>
        <v>Abrir facsímil</v>
      </c>
      <c r="K1659" s="15" t="s">
        <v>22</v>
      </c>
    </row>
    <row r="1660" spans="1:11" ht="42" customHeight="1">
      <c r="A1660" s="4" t="s">
        <v>4217</v>
      </c>
      <c r="B1660" s="5" t="s">
        <v>4218</v>
      </c>
      <c r="C1660" s="5" t="s">
        <v>34</v>
      </c>
      <c r="D1660" s="5" t="s">
        <v>35</v>
      </c>
      <c r="E1660" s="5" t="s">
        <v>361</v>
      </c>
      <c r="F1660" s="9">
        <v>113</v>
      </c>
      <c r="G1660" s="9">
        <v>1320</v>
      </c>
      <c r="H1660" s="5" t="s">
        <v>20</v>
      </c>
      <c r="I1660" s="5" t="s">
        <v>4219</v>
      </c>
      <c r="J1660" s="12" t="str">
        <f>HYPERLINK("https://www.boe.es/gazeta/dias/1807/12/22/pdfs/GMD-1807-113.pdf#page=8","Abrir facsímil")</f>
        <v>Abrir facsímil</v>
      </c>
      <c r="K1660" s="15" t="s">
        <v>22</v>
      </c>
    </row>
    <row r="1661" spans="1:11" ht="42" customHeight="1">
      <c r="A1661" s="4" t="s">
        <v>4220</v>
      </c>
      <c r="B1661" s="5" t="s">
        <v>4221</v>
      </c>
      <c r="C1661" s="5" t="s">
        <v>28</v>
      </c>
      <c r="D1661" s="5" t="s">
        <v>29</v>
      </c>
      <c r="E1661" s="5" t="s">
        <v>350</v>
      </c>
      <c r="F1661" s="9">
        <v>112</v>
      </c>
      <c r="G1661" s="9">
        <v>1310</v>
      </c>
      <c r="H1661" s="5" t="s">
        <v>20</v>
      </c>
      <c r="I1661" s="5" t="s">
        <v>4222</v>
      </c>
      <c r="J1661" s="12" t="str">
        <f>HYPERLINK("https://www.boe.es/gazeta/dias/1807/12/18/pdfs/GMD-1807-112.pdf#page=10","Abrir facsímil")</f>
        <v>Abrir facsímil</v>
      </c>
      <c r="K1661" s="15" t="s">
        <v>22</v>
      </c>
    </row>
    <row r="1662" spans="1:11" ht="42" customHeight="1">
      <c r="A1662" s="4" t="s">
        <v>4223</v>
      </c>
      <c r="B1662" s="5" t="s">
        <v>4224</v>
      </c>
      <c r="C1662" s="5" t="s">
        <v>34</v>
      </c>
      <c r="D1662" s="5" t="s">
        <v>35</v>
      </c>
      <c r="E1662" s="5" t="s">
        <v>111</v>
      </c>
      <c r="F1662" s="9">
        <v>90</v>
      </c>
      <c r="G1662" s="9">
        <v>1044</v>
      </c>
      <c r="H1662" s="5" t="s">
        <v>20</v>
      </c>
      <c r="I1662" s="5" t="s">
        <v>4225</v>
      </c>
      <c r="J1662" s="12" t="str">
        <f>HYPERLINK("https://www.boe.es/gazeta/dias/1807/10/06/pdfs/GMD-1807-90.pdf#page=12","Abrir facsímil")</f>
        <v>Abrir facsímil</v>
      </c>
      <c r="K1662" s="15" t="s">
        <v>22</v>
      </c>
    </row>
    <row r="1663" spans="1:11" ht="42" customHeight="1">
      <c r="A1663" s="4" t="s">
        <v>4226</v>
      </c>
      <c r="B1663" s="5" t="s">
        <v>4226</v>
      </c>
      <c r="C1663" s="5" t="s">
        <v>28</v>
      </c>
      <c r="D1663" s="5" t="s">
        <v>29</v>
      </c>
      <c r="E1663" s="5" t="s">
        <v>127</v>
      </c>
      <c r="F1663" s="9">
        <v>81</v>
      </c>
      <c r="G1663" s="9">
        <v>946</v>
      </c>
      <c r="H1663" s="5" t="s">
        <v>20</v>
      </c>
      <c r="I1663" s="5" t="s">
        <v>4227</v>
      </c>
      <c r="J1663" s="12" t="str">
        <f>HYPERLINK("https://www.boe.es/gazeta/dias/1807/09/11/pdfs/GMD-1807-81.pdf#page=10","Abrir facsímil")</f>
        <v>Abrir facsímil</v>
      </c>
      <c r="K1663" s="15" t="s">
        <v>22</v>
      </c>
    </row>
    <row r="1664" spans="1:11" ht="42" customHeight="1">
      <c r="A1664" s="4" t="s">
        <v>4228</v>
      </c>
      <c r="B1664" s="5" t="s">
        <v>4229</v>
      </c>
      <c r="C1664" s="5" t="s">
        <v>34</v>
      </c>
      <c r="D1664" s="5" t="s">
        <v>35</v>
      </c>
      <c r="E1664" s="5" t="s">
        <v>530</v>
      </c>
      <c r="F1664" s="9">
        <v>79</v>
      </c>
      <c r="G1664" s="9">
        <v>918</v>
      </c>
      <c r="H1664" s="5" t="s">
        <v>20</v>
      </c>
      <c r="I1664" s="5" t="s">
        <v>4230</v>
      </c>
      <c r="J1664" s="12" t="str">
        <f>HYPERLINK("https://www.boe.es/gazeta/dias/1807/09/04/pdfs/GMD-1807-79.pdf#page=10","Abrir facsímil")</f>
        <v>Abrir facsímil</v>
      </c>
      <c r="K1664" s="15" t="s">
        <v>22</v>
      </c>
    </row>
    <row r="1665" spans="1:11" ht="42" customHeight="1">
      <c r="A1665" s="4" t="s">
        <v>4231</v>
      </c>
      <c r="B1665" s="5" t="s">
        <v>4232</v>
      </c>
      <c r="C1665" s="5" t="s">
        <v>28</v>
      </c>
      <c r="D1665" s="5" t="s">
        <v>29</v>
      </c>
      <c r="E1665" s="5" t="s">
        <v>156</v>
      </c>
      <c r="F1665" s="9">
        <v>74</v>
      </c>
      <c r="G1665" s="9">
        <v>854</v>
      </c>
      <c r="H1665" s="5" t="s">
        <v>20</v>
      </c>
      <c r="I1665" s="5" t="s">
        <v>4233</v>
      </c>
      <c r="J1665" s="12" t="str">
        <f>HYPERLINK("https://www.boe.es/gazeta/dias/1807/08/18/pdfs/GMD-1807-74.pdf#page=6","Abrir facsímil")</f>
        <v>Abrir facsímil</v>
      </c>
      <c r="K1665" s="15" t="s">
        <v>22</v>
      </c>
    </row>
    <row r="1666" spans="1:11" ht="42" customHeight="1">
      <c r="A1666" s="4" t="s">
        <v>4234</v>
      </c>
      <c r="B1666" s="5" t="s">
        <v>4234</v>
      </c>
      <c r="C1666" s="5" t="s">
        <v>89</v>
      </c>
      <c r="D1666" s="5" t="s">
        <v>90</v>
      </c>
      <c r="E1666" s="5" t="s">
        <v>1076</v>
      </c>
      <c r="F1666" s="9">
        <v>96</v>
      </c>
      <c r="G1666" s="9">
        <v>1117</v>
      </c>
      <c r="H1666" s="5" t="s">
        <v>20</v>
      </c>
      <c r="I1666" s="5" t="s">
        <v>4235</v>
      </c>
      <c r="J1666" s="12" t="str">
        <f>HYPERLINK("https://www.boe.es/gazeta/dias/1807/10/27/pdfs/GMD-1807-96.pdf#page=9","Abrir facsímil")</f>
        <v>Abrir facsímil</v>
      </c>
      <c r="K1666" s="15" t="s">
        <v>22</v>
      </c>
    </row>
    <row r="1667" spans="1:11" ht="42" customHeight="1">
      <c r="A1667" s="4" t="s">
        <v>4236</v>
      </c>
      <c r="B1667" s="5" t="s">
        <v>4237</v>
      </c>
      <c r="C1667" s="5" t="s">
        <v>28</v>
      </c>
      <c r="D1667" s="5" t="s">
        <v>29</v>
      </c>
      <c r="E1667" s="5" t="s">
        <v>101</v>
      </c>
      <c r="F1667" s="9">
        <v>23</v>
      </c>
      <c r="G1667" s="9">
        <v>271</v>
      </c>
      <c r="H1667" s="5" t="s">
        <v>20</v>
      </c>
      <c r="I1667" s="5" t="s">
        <v>4238</v>
      </c>
      <c r="J1667" s="12" t="str">
        <f>HYPERLINK("https://www.boe.es/gazeta/dias/1807/03/10/pdfs/GMD-1807-23.pdf#page=11","Abrir facsímil")</f>
        <v>Abrir facsímil</v>
      </c>
      <c r="K1667" s="15" t="s">
        <v>22</v>
      </c>
    </row>
    <row r="1668" spans="1:11" ht="42" customHeight="1">
      <c r="A1668" s="4" t="s">
        <v>4239</v>
      </c>
      <c r="B1668" s="5" t="s">
        <v>4240</v>
      </c>
      <c r="C1668" s="5" t="s">
        <v>34</v>
      </c>
      <c r="D1668" s="5" t="s">
        <v>35</v>
      </c>
      <c r="E1668" s="5" t="s">
        <v>91</v>
      </c>
      <c r="F1668" s="9">
        <v>109</v>
      </c>
      <c r="G1668" s="9">
        <v>1272</v>
      </c>
      <c r="H1668" s="5" t="s">
        <v>20</v>
      </c>
      <c r="I1668" s="5" t="s">
        <v>4241</v>
      </c>
      <c r="J1668" s="12" t="str">
        <f>HYPERLINK("https://www.boe.es/gazeta/dias/1807/12/08/pdfs/GMD-1807-109.pdf#page=8","Abrir facsímil")</f>
        <v>Abrir facsímil</v>
      </c>
      <c r="K1668" s="15" t="s">
        <v>22</v>
      </c>
    </row>
    <row r="1669" spans="1:11" ht="42" customHeight="1">
      <c r="A1669" s="4" t="s">
        <v>4242</v>
      </c>
      <c r="B1669" s="5" t="s">
        <v>4242</v>
      </c>
      <c r="C1669" s="5" t="s">
        <v>34</v>
      </c>
      <c r="D1669" s="5" t="s">
        <v>35</v>
      </c>
      <c r="E1669" s="5" t="s">
        <v>65</v>
      </c>
      <c r="F1669" s="9">
        <v>52</v>
      </c>
      <c r="G1669" s="9">
        <v>622</v>
      </c>
      <c r="H1669" s="5" t="s">
        <v>20</v>
      </c>
      <c r="I1669" s="5" t="s">
        <v>4243</v>
      </c>
      <c r="J1669" s="12" t="str">
        <f>HYPERLINK("https://www.boe.es/gazeta/dias/1807/06/19/pdfs/GMD-1807-52.pdf#page=12","Abrir facsímil")</f>
        <v>Abrir facsímil</v>
      </c>
      <c r="K1669" s="15" t="s">
        <v>22</v>
      </c>
    </row>
    <row r="1670" spans="1:11" ht="42" customHeight="1">
      <c r="A1670" s="4" t="s">
        <v>4244</v>
      </c>
      <c r="B1670" s="5" t="s">
        <v>4245</v>
      </c>
      <c r="C1670" s="5" t="s">
        <v>34</v>
      </c>
      <c r="D1670" s="5" t="s">
        <v>35</v>
      </c>
      <c r="E1670" s="5" t="s">
        <v>376</v>
      </c>
      <c r="F1670" s="9">
        <v>19</v>
      </c>
      <c r="G1670" s="9">
        <v>225</v>
      </c>
      <c r="H1670" s="5" t="s">
        <v>20</v>
      </c>
      <c r="I1670" s="5" t="s">
        <v>4246</v>
      </c>
      <c r="J1670" s="12" t="str">
        <f>HYPERLINK("https://www.boe.es/gazeta/dias/1807/02/27/pdfs/GMD-1807-19.pdf#page=9","Abrir facsímil")</f>
        <v>Abrir facsímil</v>
      </c>
      <c r="K1670" s="15" t="s">
        <v>22</v>
      </c>
    </row>
    <row r="1671" spans="1:11" ht="42" customHeight="1">
      <c r="A1671" s="4" t="s">
        <v>4247</v>
      </c>
      <c r="B1671" s="5" t="s">
        <v>4248</v>
      </c>
      <c r="C1671" s="5" t="s">
        <v>34</v>
      </c>
      <c r="D1671" s="5" t="s">
        <v>35</v>
      </c>
      <c r="E1671" s="5" t="s">
        <v>86</v>
      </c>
      <c r="F1671" s="9">
        <v>12</v>
      </c>
      <c r="G1671" s="9">
        <v>136</v>
      </c>
      <c r="H1671" s="5" t="s">
        <v>20</v>
      </c>
      <c r="I1671" s="5" t="s">
        <v>4249</v>
      </c>
      <c r="J1671" s="12" t="str">
        <f>HYPERLINK("https://www.boe.es/gazeta/dias/1807/02/03/pdfs/GMD-1807-12.pdf#page=8","Abrir facsímil")</f>
        <v>Abrir facsímil</v>
      </c>
      <c r="K1671" s="15" t="s">
        <v>22</v>
      </c>
    </row>
    <row r="1672" spans="1:11" ht="42" customHeight="1">
      <c r="A1672" s="4" t="s">
        <v>4250</v>
      </c>
      <c r="B1672" s="5" t="s">
        <v>4250</v>
      </c>
      <c r="C1672" s="5" t="s">
        <v>89</v>
      </c>
      <c r="D1672" s="5" t="s">
        <v>90</v>
      </c>
      <c r="E1672" s="5" t="s">
        <v>46</v>
      </c>
      <c r="F1672" s="9">
        <v>78</v>
      </c>
      <c r="G1672" s="9">
        <v>902</v>
      </c>
      <c r="H1672" s="5" t="s">
        <v>20</v>
      </c>
      <c r="I1672" s="5" t="s">
        <v>4251</v>
      </c>
      <c r="J1672" s="12" t="str">
        <f>HYPERLINK("https://www.boe.es/gazeta/dias/1807/09/01/pdfs/GMD-1807-78.pdf#page=6","Abrir facsímil")</f>
        <v>Abrir facsímil</v>
      </c>
      <c r="K1672" s="15" t="s">
        <v>22</v>
      </c>
    </row>
    <row r="1673" spans="1:11" ht="42" customHeight="1">
      <c r="A1673" s="4" t="s">
        <v>4252</v>
      </c>
      <c r="B1673" s="5" t="s">
        <v>4252</v>
      </c>
      <c r="C1673" s="5" t="s">
        <v>28</v>
      </c>
      <c r="D1673" s="5" t="s">
        <v>29</v>
      </c>
      <c r="E1673" s="5" t="s">
        <v>505</v>
      </c>
      <c r="F1673" s="9">
        <v>47</v>
      </c>
      <c r="G1673" s="9">
        <v>561</v>
      </c>
      <c r="H1673" s="5" t="s">
        <v>20</v>
      </c>
      <c r="I1673" s="5" t="s">
        <v>4253</v>
      </c>
      <c r="J1673" s="12" t="str">
        <f>HYPERLINK("https://www.boe.es/gazeta/dias/1807/06/02/pdfs/GMD-1807-47.pdf#page=7","Abrir facsímil")</f>
        <v>Abrir facsímil</v>
      </c>
      <c r="K1673" s="15" t="s">
        <v>22</v>
      </c>
    </row>
    <row r="1674" spans="1:11" ht="42" customHeight="1">
      <c r="A1674" s="4" t="s">
        <v>4252</v>
      </c>
      <c r="B1674" s="5" t="s">
        <v>4252</v>
      </c>
      <c r="C1674" s="5" t="s">
        <v>34</v>
      </c>
      <c r="D1674" s="5" t="s">
        <v>35</v>
      </c>
      <c r="E1674" s="5" t="s">
        <v>46</v>
      </c>
      <c r="F1674" s="9">
        <v>78</v>
      </c>
      <c r="G1674" s="9">
        <v>902</v>
      </c>
      <c r="H1674" s="5" t="s">
        <v>20</v>
      </c>
      <c r="I1674" s="5" t="s">
        <v>4254</v>
      </c>
      <c r="J1674" s="12" t="str">
        <f>HYPERLINK("https://www.boe.es/gazeta/dias/1807/09/01/pdfs/GMD-1807-78.pdf#page=6","Abrir facsímil")</f>
        <v>Abrir facsímil</v>
      </c>
      <c r="K1674" s="15" t="s">
        <v>22</v>
      </c>
    </row>
    <row r="1675" spans="1:11" ht="42" customHeight="1">
      <c r="A1675" s="4" t="s">
        <v>4252</v>
      </c>
      <c r="B1675" s="5" t="s">
        <v>4252</v>
      </c>
      <c r="C1675" s="5" t="s">
        <v>34</v>
      </c>
      <c r="D1675" s="5" t="s">
        <v>35</v>
      </c>
      <c r="E1675" s="5" t="s">
        <v>135</v>
      </c>
      <c r="F1675" s="9">
        <v>80</v>
      </c>
      <c r="G1675" s="9">
        <v>931</v>
      </c>
      <c r="H1675" s="5" t="s">
        <v>20</v>
      </c>
      <c r="I1675" s="5" t="s">
        <v>4255</v>
      </c>
      <c r="J1675" s="12" t="str">
        <f>HYPERLINK("https://www.boe.es/gazeta/dias/1807/09/08/pdfs/GMD-1807-80.pdf#page=7","Abrir facsímil")</f>
        <v>Abrir facsímil</v>
      </c>
      <c r="K1675" s="15" t="s">
        <v>22</v>
      </c>
    </row>
    <row r="1676" spans="1:11" ht="42" customHeight="1">
      <c r="A1676" s="4" t="s">
        <v>4256</v>
      </c>
      <c r="B1676" s="5" t="s">
        <v>4257</v>
      </c>
      <c r="C1676" s="5" t="s">
        <v>17</v>
      </c>
      <c r="D1676" s="5" t="s">
        <v>18</v>
      </c>
      <c r="E1676" s="5" t="s">
        <v>530</v>
      </c>
      <c r="F1676" s="9">
        <v>79</v>
      </c>
      <c r="G1676" s="9">
        <v>918</v>
      </c>
      <c r="H1676" s="5" t="s">
        <v>20</v>
      </c>
      <c r="I1676" s="5" t="s">
        <v>4258</v>
      </c>
      <c r="J1676" s="12" t="str">
        <f>HYPERLINK("https://www.boe.es/gazeta/dias/1807/09/04/pdfs/GMD-1807-79.pdf#page=10","Abrir facsímil")</f>
        <v>Abrir facsímil</v>
      </c>
      <c r="K1676" s="15" t="s">
        <v>22</v>
      </c>
    </row>
    <row r="1677" spans="1:11" ht="42" customHeight="1">
      <c r="A1677" s="4" t="s">
        <v>4259</v>
      </c>
      <c r="B1677" s="5" t="s">
        <v>4260</v>
      </c>
      <c r="C1677" s="5" t="s">
        <v>34</v>
      </c>
      <c r="D1677" s="5" t="s">
        <v>35</v>
      </c>
      <c r="E1677" s="5" t="s">
        <v>109</v>
      </c>
      <c r="F1677" s="9">
        <v>58</v>
      </c>
      <c r="G1677" s="9">
        <v>688</v>
      </c>
      <c r="H1677" s="5" t="s">
        <v>20</v>
      </c>
      <c r="I1677" s="5" t="s">
        <v>4261</v>
      </c>
      <c r="J1677" s="12" t="str">
        <f>HYPERLINK("https://www.boe.es/gazeta/dias/1807/07/07/pdfs/GMD-1807-58.pdf#page=6","Abrir facsímil")</f>
        <v>Abrir facsímil</v>
      </c>
      <c r="K1677" s="15" t="s">
        <v>22</v>
      </c>
    </row>
    <row r="1678" spans="1:11" ht="42" customHeight="1">
      <c r="A1678" s="4" t="s">
        <v>4262</v>
      </c>
      <c r="B1678" s="5" t="s">
        <v>4262</v>
      </c>
      <c r="C1678" s="5" t="s">
        <v>89</v>
      </c>
      <c r="D1678" s="5" t="s">
        <v>90</v>
      </c>
      <c r="E1678" s="5" t="s">
        <v>686</v>
      </c>
      <c r="F1678" s="9">
        <v>106</v>
      </c>
      <c r="G1678" s="9">
        <v>1236</v>
      </c>
      <c r="H1678" s="5" t="s">
        <v>20</v>
      </c>
      <c r="I1678" s="5" t="s">
        <v>4263</v>
      </c>
      <c r="J1678" s="12" t="str">
        <f>HYPERLINK("https://www.boe.es/gazeta/dias/1807/11/27/pdfs/GMD-1807-106.pdf#page=8","Abrir facsímil")</f>
        <v>Abrir facsímil</v>
      </c>
      <c r="K1678" s="15" t="s">
        <v>22</v>
      </c>
    </row>
    <row r="1679" spans="1:11" ht="42" customHeight="1">
      <c r="A1679" s="4" t="s">
        <v>4264</v>
      </c>
      <c r="B1679" s="5" t="s">
        <v>4265</v>
      </c>
      <c r="C1679" s="5" t="s">
        <v>89</v>
      </c>
      <c r="D1679" s="5" t="s">
        <v>90</v>
      </c>
      <c r="E1679" s="5" t="s">
        <v>51</v>
      </c>
      <c r="F1679" s="9">
        <v>62</v>
      </c>
      <c r="G1679" s="9">
        <v>734</v>
      </c>
      <c r="H1679" s="5" t="s">
        <v>20</v>
      </c>
      <c r="I1679" s="5" t="s">
        <v>4266</v>
      </c>
      <c r="J1679" s="12" t="str">
        <f>HYPERLINK("https://www.boe.es/gazeta/dias/1807/07/17/pdfs/GMD-1807-62.pdf#page=8","Abrir facsímil")</f>
        <v>Abrir facsímil</v>
      </c>
      <c r="K1679" s="15" t="s">
        <v>22</v>
      </c>
    </row>
    <row r="1680" spans="1:11" ht="42" customHeight="1">
      <c r="A1680" s="4" t="s">
        <v>4267</v>
      </c>
      <c r="B1680" s="5" t="s">
        <v>4268</v>
      </c>
      <c r="C1680" s="5" t="s">
        <v>28</v>
      </c>
      <c r="D1680" s="5" t="s">
        <v>29</v>
      </c>
      <c r="E1680" s="5" t="s">
        <v>215</v>
      </c>
      <c r="F1680" s="9">
        <v>5</v>
      </c>
      <c r="G1680" s="9">
        <v>45</v>
      </c>
      <c r="H1680" s="5" t="s">
        <v>20</v>
      </c>
      <c r="I1680" s="5" t="s">
        <v>4269</v>
      </c>
      <c r="J1680" s="12" t="str">
        <f>HYPERLINK("https://www.boe.es/gazeta/dias/1807/01/16/pdfs/GMD-1807-5.pdf#page=1","Abrir facsímil")</f>
        <v>Abrir facsímil</v>
      </c>
      <c r="K1680" s="15" t="s">
        <v>22</v>
      </c>
    </row>
    <row r="1681" spans="1:11" ht="42" customHeight="1">
      <c r="A1681" s="4" t="s">
        <v>4270</v>
      </c>
      <c r="B1681" s="5" t="s">
        <v>4270</v>
      </c>
      <c r="C1681" s="5" t="s">
        <v>34</v>
      </c>
      <c r="D1681" s="5" t="s">
        <v>35</v>
      </c>
      <c r="E1681" s="5" t="s">
        <v>221</v>
      </c>
      <c r="F1681" s="9">
        <v>73</v>
      </c>
      <c r="G1681" s="9">
        <v>841</v>
      </c>
      <c r="H1681" s="5" t="s">
        <v>20</v>
      </c>
      <c r="I1681" s="5" t="s">
        <v>4271</v>
      </c>
      <c r="J1681" s="12" t="str">
        <f>HYPERLINK("https://www.boe.es/gazeta/dias/1807/08/14/pdfs/GMD-1807-73.pdf#page=5","Abrir facsímil")</f>
        <v>Abrir facsímil</v>
      </c>
      <c r="K1681" s="15" t="s">
        <v>22</v>
      </c>
    </row>
    <row r="1682" spans="1:11" ht="42" customHeight="1">
      <c r="A1682" s="4" t="s">
        <v>4272</v>
      </c>
      <c r="B1682" s="5" t="s">
        <v>4272</v>
      </c>
      <c r="C1682" s="5" t="s">
        <v>17</v>
      </c>
      <c r="D1682" s="5" t="s">
        <v>18</v>
      </c>
      <c r="E1682" s="5" t="s">
        <v>183</v>
      </c>
      <c r="F1682" s="9">
        <v>1</v>
      </c>
      <c r="G1682" s="9">
        <v>10</v>
      </c>
      <c r="H1682" s="5" t="s">
        <v>20</v>
      </c>
      <c r="I1682" s="5" t="s">
        <v>4273</v>
      </c>
      <c r="J1682" s="12" t="str">
        <f>HYPERLINK("https://www.boe.es/gazeta/dias/1807/01/02/pdfs/GMD-1807-1.pdf#page=10","Abrir facsímil")</f>
        <v>Abrir facsímil</v>
      </c>
      <c r="K1682" s="15" t="s">
        <v>22</v>
      </c>
    </row>
    <row r="1683" spans="1:11" ht="42" customHeight="1">
      <c r="A1683" s="4" t="s">
        <v>4272</v>
      </c>
      <c r="B1683" s="5" t="s">
        <v>4272</v>
      </c>
      <c r="C1683" s="5" t="s">
        <v>49</v>
      </c>
      <c r="D1683" s="5" t="s">
        <v>50</v>
      </c>
      <c r="E1683" s="5" t="s">
        <v>183</v>
      </c>
      <c r="F1683" s="9">
        <v>1</v>
      </c>
      <c r="G1683" s="9">
        <v>9</v>
      </c>
      <c r="H1683" s="5" t="s">
        <v>20</v>
      </c>
      <c r="I1683" s="5" t="s">
        <v>4274</v>
      </c>
      <c r="J1683" s="12" t="str">
        <f>HYPERLINK("https://www.boe.es/gazeta/dias/1807/01/02/pdfs/GMD-1807-1.pdf#page=9","Abrir facsímil")</f>
        <v>Abrir facsímil</v>
      </c>
      <c r="K1683" s="15" t="s">
        <v>22</v>
      </c>
    </row>
    <row r="1684" spans="1:11" ht="42" customHeight="1">
      <c r="A1684" s="4" t="s">
        <v>4272</v>
      </c>
      <c r="B1684" s="5" t="s">
        <v>4272</v>
      </c>
      <c r="C1684" s="5" t="s">
        <v>49</v>
      </c>
      <c r="D1684" s="5" t="s">
        <v>50</v>
      </c>
      <c r="E1684" s="5" t="s">
        <v>79</v>
      </c>
      <c r="F1684" s="9">
        <v>11</v>
      </c>
      <c r="G1684" s="9">
        <v>118</v>
      </c>
      <c r="H1684" s="5" t="s">
        <v>20</v>
      </c>
      <c r="I1684" s="5" t="s">
        <v>4275</v>
      </c>
      <c r="J1684" s="12" t="str">
        <f>HYPERLINK("https://www.boe.es/gazeta/dias/1807/01/30/pdfs/GMD-1807-11.pdf#page=2","Abrir facsímil")</f>
        <v>Abrir facsímil</v>
      </c>
      <c r="K1684" s="15" t="s">
        <v>22</v>
      </c>
    </row>
    <row r="1685" spans="1:11" ht="42" customHeight="1">
      <c r="A1685" s="4" t="s">
        <v>4272</v>
      </c>
      <c r="B1685" s="5" t="s">
        <v>4272</v>
      </c>
      <c r="C1685" s="5" t="s">
        <v>49</v>
      </c>
      <c r="D1685" s="5" t="s">
        <v>50</v>
      </c>
      <c r="E1685" s="5" t="s">
        <v>79</v>
      </c>
      <c r="F1685" s="9">
        <v>11</v>
      </c>
      <c r="G1685" s="9">
        <v>119</v>
      </c>
      <c r="H1685" s="5" t="s">
        <v>20</v>
      </c>
      <c r="I1685" s="5" t="s">
        <v>4276</v>
      </c>
      <c r="J1685" s="12" t="str">
        <f>HYPERLINK("https://www.boe.es/gazeta/dias/1807/01/30/pdfs/GMD-1807-11.pdf#page=3","Abrir facsímil")</f>
        <v>Abrir facsímil</v>
      </c>
      <c r="K1685" s="15" t="s">
        <v>22</v>
      </c>
    </row>
    <row r="1686" spans="1:11" ht="42" customHeight="1">
      <c r="A1686" s="4" t="s">
        <v>4272</v>
      </c>
      <c r="B1686" s="5" t="s">
        <v>4272</v>
      </c>
      <c r="C1686" s="5" t="s">
        <v>49</v>
      </c>
      <c r="D1686" s="5" t="s">
        <v>50</v>
      </c>
      <c r="E1686" s="5" t="s">
        <v>94</v>
      </c>
      <c r="F1686" s="9">
        <v>22</v>
      </c>
      <c r="G1686" s="9">
        <v>251</v>
      </c>
      <c r="H1686" s="5" t="s">
        <v>20</v>
      </c>
      <c r="I1686" s="5" t="s">
        <v>4277</v>
      </c>
      <c r="J1686" s="12" t="str">
        <f>HYPERLINK("https://www.boe.es/gazeta/dias/1807/03/06/pdfs/GMD-1807-22.pdf#page=3","Abrir facsímil")</f>
        <v>Abrir facsímil</v>
      </c>
      <c r="K1686" s="15" t="s">
        <v>22</v>
      </c>
    </row>
    <row r="1687" spans="1:11" ht="42" customHeight="1">
      <c r="A1687" s="4" t="s">
        <v>4272</v>
      </c>
      <c r="B1687" s="5" t="s">
        <v>4272</v>
      </c>
      <c r="C1687" s="5" t="s">
        <v>49</v>
      </c>
      <c r="D1687" s="5" t="s">
        <v>50</v>
      </c>
      <c r="E1687" s="5" t="s">
        <v>190</v>
      </c>
      <c r="F1687" s="9">
        <v>37</v>
      </c>
      <c r="G1687" s="9">
        <v>436</v>
      </c>
      <c r="H1687" s="5" t="s">
        <v>20</v>
      </c>
      <c r="I1687" s="5" t="s">
        <v>4278</v>
      </c>
      <c r="J1687" s="12" t="str">
        <f>HYPERLINK("https://www.boe.es/gazeta/dias/1807/04/28/pdfs/GMD-1807-37.pdf#page=4","Abrir facsímil")</f>
        <v>Abrir facsímil</v>
      </c>
      <c r="K1687" s="15" t="s">
        <v>22</v>
      </c>
    </row>
    <row r="1688" spans="1:11" ht="42" customHeight="1">
      <c r="A1688" s="4" t="s">
        <v>4272</v>
      </c>
      <c r="B1688" s="5" t="s">
        <v>4272</v>
      </c>
      <c r="C1688" s="5" t="s">
        <v>34</v>
      </c>
      <c r="D1688" s="5" t="s">
        <v>35</v>
      </c>
      <c r="E1688" s="5" t="s">
        <v>114</v>
      </c>
      <c r="F1688" s="9">
        <v>46</v>
      </c>
      <c r="G1688" s="9">
        <v>554</v>
      </c>
      <c r="H1688" s="5" t="s">
        <v>20</v>
      </c>
      <c r="I1688" s="5" t="s">
        <v>4279</v>
      </c>
      <c r="J1688" s="12" t="str">
        <f>HYPERLINK("https://www.boe.es/gazeta/dias/1807/05/29/pdfs/GMD-1807-46.pdf#page=12","Abrir facsímil")</f>
        <v>Abrir facsímil</v>
      </c>
      <c r="K1688" s="15" t="s">
        <v>22</v>
      </c>
    </row>
    <row r="1689" spans="1:11" ht="42" customHeight="1">
      <c r="A1689" s="4" t="s">
        <v>4272</v>
      </c>
      <c r="B1689" s="5" t="s">
        <v>4272</v>
      </c>
      <c r="C1689" s="5" t="s">
        <v>28</v>
      </c>
      <c r="D1689" s="5" t="s">
        <v>29</v>
      </c>
      <c r="E1689" s="5" t="s">
        <v>111</v>
      </c>
      <c r="F1689" s="9">
        <v>90</v>
      </c>
      <c r="G1689" s="9">
        <v>1043</v>
      </c>
      <c r="H1689" s="5" t="s">
        <v>20</v>
      </c>
      <c r="I1689" s="5" t="s">
        <v>4280</v>
      </c>
      <c r="J1689" s="12" t="str">
        <f>HYPERLINK("https://www.boe.es/gazeta/dias/1807/10/06/pdfs/GMD-1807-90.pdf#page=11","Abrir facsímil")</f>
        <v>Abrir facsímil</v>
      </c>
      <c r="K1689" s="15" t="s">
        <v>22</v>
      </c>
    </row>
    <row r="1690" spans="1:11" ht="42" customHeight="1">
      <c r="A1690" s="4" t="s">
        <v>4272</v>
      </c>
      <c r="B1690" s="5" t="s">
        <v>4272</v>
      </c>
      <c r="C1690" s="5" t="s">
        <v>34</v>
      </c>
      <c r="D1690" s="5" t="s">
        <v>35</v>
      </c>
      <c r="E1690" s="5" t="s">
        <v>1177</v>
      </c>
      <c r="F1690" s="9">
        <v>101</v>
      </c>
      <c r="G1690" s="9">
        <v>1175</v>
      </c>
      <c r="H1690" s="5" t="s">
        <v>20</v>
      </c>
      <c r="I1690" s="5" t="s">
        <v>4281</v>
      </c>
      <c r="J1690" s="12" t="str">
        <f>HYPERLINK("https://www.boe.es/gazeta/dias/1807/11/13/pdfs/GMD-1807-101.pdf#page=7","Abrir facsímil")</f>
        <v>Abrir facsímil</v>
      </c>
      <c r="K1690" s="15" t="s">
        <v>22</v>
      </c>
    </row>
    <row r="1691" spans="1:11" ht="42" customHeight="1">
      <c r="A1691" s="4" t="s">
        <v>4282</v>
      </c>
      <c r="B1691" s="5" t="s">
        <v>4283</v>
      </c>
      <c r="C1691" s="5" t="s">
        <v>28</v>
      </c>
      <c r="D1691" s="5" t="s">
        <v>29</v>
      </c>
      <c r="E1691" s="5" t="s">
        <v>208</v>
      </c>
      <c r="F1691" s="9">
        <v>42</v>
      </c>
      <c r="G1691" s="9">
        <v>506</v>
      </c>
      <c r="H1691" s="5" t="s">
        <v>20</v>
      </c>
      <c r="I1691" s="5" t="s">
        <v>4284</v>
      </c>
      <c r="J1691" s="12" t="str">
        <f>HYPERLINK("https://www.boe.es/gazeta/dias/1807/05/15/pdfs/GMD-1807-42.pdf#page=12","Abrir facsímil")</f>
        <v>Abrir facsímil</v>
      </c>
      <c r="K1691" s="15" t="s">
        <v>22</v>
      </c>
    </row>
    <row r="1692" spans="1:11" ht="42" customHeight="1">
      <c r="A1692" s="4" t="s">
        <v>4285</v>
      </c>
      <c r="B1692" s="5" t="s">
        <v>4285</v>
      </c>
      <c r="C1692" s="5" t="s">
        <v>34</v>
      </c>
      <c r="D1692" s="5" t="s">
        <v>35</v>
      </c>
      <c r="E1692" s="5" t="s">
        <v>208</v>
      </c>
      <c r="F1692" s="9">
        <v>42</v>
      </c>
      <c r="G1692" s="9">
        <v>501</v>
      </c>
      <c r="H1692" s="5" t="s">
        <v>20</v>
      </c>
      <c r="I1692" s="5" t="s">
        <v>4286</v>
      </c>
      <c r="J1692" s="12" t="str">
        <f>HYPERLINK("https://www.boe.es/gazeta/dias/1807/05/15/pdfs/GMD-1807-42.pdf#page=7","Abrir facsímil")</f>
        <v>Abrir facsímil</v>
      </c>
      <c r="K1692" s="15" t="s">
        <v>22</v>
      </c>
    </row>
    <row r="1693" spans="1:11" ht="42" customHeight="1">
      <c r="A1693" s="4" t="s">
        <v>4287</v>
      </c>
      <c r="B1693" s="5" t="s">
        <v>4287</v>
      </c>
      <c r="C1693" s="5" t="s">
        <v>34</v>
      </c>
      <c r="D1693" s="5" t="s">
        <v>35</v>
      </c>
      <c r="E1693" s="5" t="s">
        <v>30</v>
      </c>
      <c r="F1693" s="9">
        <v>13</v>
      </c>
      <c r="G1693" s="9">
        <v>149</v>
      </c>
      <c r="H1693" s="5" t="s">
        <v>20</v>
      </c>
      <c r="I1693" s="5" t="s">
        <v>4288</v>
      </c>
      <c r="J1693" s="12" t="str">
        <f>HYPERLINK("https://www.boe.es/gazeta/dias/1807/02/06/pdfs/GMD-1807-13.pdf#page=9","Abrir facsímil")</f>
        <v>Abrir facsímil</v>
      </c>
      <c r="K1693" s="15" t="s">
        <v>22</v>
      </c>
    </row>
    <row r="1694" spans="1:11" ht="42" customHeight="1">
      <c r="A1694" s="4" t="s">
        <v>4289</v>
      </c>
      <c r="B1694" s="5" t="s">
        <v>4289</v>
      </c>
      <c r="C1694" s="5" t="s">
        <v>34</v>
      </c>
      <c r="D1694" s="5" t="s">
        <v>35</v>
      </c>
      <c r="E1694" s="5" t="s">
        <v>183</v>
      </c>
      <c r="F1694" s="9">
        <v>1</v>
      </c>
      <c r="G1694" s="9">
        <v>10</v>
      </c>
      <c r="H1694" s="5" t="s">
        <v>20</v>
      </c>
      <c r="I1694" s="5" t="s">
        <v>4290</v>
      </c>
      <c r="J1694" s="12" t="str">
        <f>HYPERLINK("https://www.boe.es/gazeta/dias/1807/01/02/pdfs/GMD-1807-1.pdf#page=10","Abrir facsímil")</f>
        <v>Abrir facsímil</v>
      </c>
      <c r="K1694" s="15" t="s">
        <v>22</v>
      </c>
    </row>
    <row r="1695" spans="1:11" ht="42" customHeight="1">
      <c r="A1695" s="4" t="s">
        <v>4291</v>
      </c>
      <c r="B1695" s="5" t="s">
        <v>4291</v>
      </c>
      <c r="C1695" s="5" t="s">
        <v>49</v>
      </c>
      <c r="D1695" s="5" t="s">
        <v>50</v>
      </c>
      <c r="E1695" s="5" t="s">
        <v>186</v>
      </c>
      <c r="F1695" s="9">
        <v>72</v>
      </c>
      <c r="G1695" s="9">
        <v>825</v>
      </c>
      <c r="H1695" s="5" t="s">
        <v>20</v>
      </c>
      <c r="I1695" s="5" t="s">
        <v>4292</v>
      </c>
      <c r="J1695" s="12" t="str">
        <f>HYPERLINK("https://www.boe.es/gazeta/dias/1807/08/11/pdfs/GMD-1807-72.pdf#page=5","Abrir facsímil")</f>
        <v>Abrir facsímil</v>
      </c>
      <c r="K1695" s="15" t="s">
        <v>22</v>
      </c>
    </row>
    <row r="1696" spans="1:11" ht="42" customHeight="1">
      <c r="A1696" s="4" t="s">
        <v>4293</v>
      </c>
      <c r="B1696" s="5" t="s">
        <v>4294</v>
      </c>
      <c r="C1696" s="5" t="s">
        <v>28</v>
      </c>
      <c r="D1696" s="5" t="s">
        <v>29</v>
      </c>
      <c r="E1696" s="5" t="s">
        <v>266</v>
      </c>
      <c r="F1696" s="9">
        <v>67</v>
      </c>
      <c r="G1696" s="9">
        <v>775</v>
      </c>
      <c r="H1696" s="5" t="s">
        <v>20</v>
      </c>
      <c r="I1696" s="5" t="s">
        <v>4295</v>
      </c>
      <c r="J1696" s="12" t="str">
        <f>HYPERLINK("https://www.boe.es/gazeta/dias/1807/07/28/pdfs/GMD-1807-67.pdf#page=11","Abrir facsímil")</f>
        <v>Abrir facsímil</v>
      </c>
      <c r="K1696" s="15" t="s">
        <v>22</v>
      </c>
    </row>
    <row r="1697" spans="1:11" ht="42" customHeight="1">
      <c r="A1697" s="4" t="s">
        <v>4293</v>
      </c>
      <c r="B1697" s="5" t="s">
        <v>4294</v>
      </c>
      <c r="C1697" s="5" t="s">
        <v>28</v>
      </c>
      <c r="D1697" s="5" t="s">
        <v>29</v>
      </c>
      <c r="E1697" s="5" t="s">
        <v>221</v>
      </c>
      <c r="F1697" s="9">
        <v>73</v>
      </c>
      <c r="G1697" s="9">
        <v>847</v>
      </c>
      <c r="H1697" s="5" t="s">
        <v>20</v>
      </c>
      <c r="I1697" s="5" t="s">
        <v>4296</v>
      </c>
      <c r="J1697" s="12" t="str">
        <f>HYPERLINK("https://www.boe.es/gazeta/dias/1807/08/14/pdfs/GMD-1807-73.pdf#page=11","Abrir facsímil")</f>
        <v>Abrir facsímil</v>
      </c>
      <c r="K1697" s="15" t="s">
        <v>22</v>
      </c>
    </row>
    <row r="1698" spans="1:11" ht="42" customHeight="1">
      <c r="A1698" s="4" t="s">
        <v>4293</v>
      </c>
      <c r="B1698" s="5" t="s">
        <v>4294</v>
      </c>
      <c r="C1698" s="5" t="s">
        <v>28</v>
      </c>
      <c r="D1698" s="5" t="s">
        <v>29</v>
      </c>
      <c r="E1698" s="5" t="s">
        <v>441</v>
      </c>
      <c r="F1698" s="9">
        <v>92</v>
      </c>
      <c r="G1698" s="9">
        <v>1071</v>
      </c>
      <c r="H1698" s="5" t="s">
        <v>20</v>
      </c>
      <c r="I1698" s="5" t="s">
        <v>4297</v>
      </c>
      <c r="J1698" s="12" t="str">
        <f>HYPERLINK("https://www.boe.es/gazeta/dias/1807/10/13/pdfs/GMD-1807-92.pdf#page=11","Abrir facsímil")</f>
        <v>Abrir facsímil</v>
      </c>
      <c r="K1698" s="15" t="s">
        <v>22</v>
      </c>
    </row>
    <row r="1699" spans="1:11" ht="42" customHeight="1">
      <c r="A1699" s="4" t="s">
        <v>4298</v>
      </c>
      <c r="B1699" s="5" t="s">
        <v>4299</v>
      </c>
      <c r="C1699" s="5" t="s">
        <v>28</v>
      </c>
      <c r="D1699" s="5" t="s">
        <v>29</v>
      </c>
      <c r="E1699" s="5" t="s">
        <v>406</v>
      </c>
      <c r="F1699" s="9">
        <v>82</v>
      </c>
      <c r="G1699" s="9">
        <v>960</v>
      </c>
      <c r="H1699" s="5" t="s">
        <v>20</v>
      </c>
      <c r="I1699" s="5" t="s">
        <v>4300</v>
      </c>
      <c r="J1699" s="12" t="str">
        <f>HYPERLINK("https://www.boe.es/gazeta/dias/1807/09/15/pdfs/GMD-1807-82.pdf#page=12","Abrir facsímil")</f>
        <v>Abrir facsímil</v>
      </c>
      <c r="K1699" s="15" t="s">
        <v>22</v>
      </c>
    </row>
    <row r="1700" spans="1:11" ht="42" customHeight="1">
      <c r="A1700" s="4" t="s">
        <v>4301</v>
      </c>
      <c r="B1700" s="5" t="s">
        <v>4301</v>
      </c>
      <c r="C1700" s="5" t="s">
        <v>28</v>
      </c>
      <c r="D1700" s="5" t="s">
        <v>29</v>
      </c>
      <c r="E1700" s="5" t="s">
        <v>149</v>
      </c>
      <c r="F1700" s="9">
        <v>38</v>
      </c>
      <c r="G1700" s="9">
        <v>454</v>
      </c>
      <c r="H1700" s="5" t="s">
        <v>20</v>
      </c>
      <c r="I1700" s="5" t="s">
        <v>4302</v>
      </c>
      <c r="J1700" s="12" t="str">
        <f>HYPERLINK("https://www.boe.es/gazeta/dias/1807/05/01/pdfs/GMD-1807-38.pdf#page=10","Abrir facsímil")</f>
        <v>Abrir facsímil</v>
      </c>
      <c r="K1700" s="15" t="s">
        <v>22</v>
      </c>
    </row>
    <row r="1701" spans="1:11" ht="42" customHeight="1">
      <c r="A1701" s="4" t="s">
        <v>4303</v>
      </c>
      <c r="B1701" s="5" t="s">
        <v>4303</v>
      </c>
      <c r="C1701" s="5" t="s">
        <v>28</v>
      </c>
      <c r="D1701" s="5" t="s">
        <v>29</v>
      </c>
      <c r="E1701" s="5" t="s">
        <v>76</v>
      </c>
      <c r="F1701" s="9">
        <v>7</v>
      </c>
      <c r="G1701" s="9">
        <v>81</v>
      </c>
      <c r="H1701" s="5" t="s">
        <v>20</v>
      </c>
      <c r="I1701" s="5" t="s">
        <v>4304</v>
      </c>
      <c r="J1701" s="12" t="str">
        <f>HYPERLINK("https://www.boe.es/gazeta/dias/1807/01/20/pdfs/GMD-1807-7.pdf#page=13","Abrir facsímil")</f>
        <v>Abrir facsímil</v>
      </c>
      <c r="K1701" s="15" t="s">
        <v>22</v>
      </c>
    </row>
    <row r="1702" spans="1:11" ht="42" customHeight="1">
      <c r="A1702" s="4" t="s">
        <v>4305</v>
      </c>
      <c r="B1702" s="5" t="s">
        <v>4305</v>
      </c>
      <c r="C1702" s="5" t="s">
        <v>24</v>
      </c>
      <c r="D1702" s="5" t="s">
        <v>18</v>
      </c>
      <c r="E1702" s="5" t="s">
        <v>83</v>
      </c>
      <c r="F1702" s="9">
        <v>50</v>
      </c>
      <c r="G1702" s="9">
        <v>597</v>
      </c>
      <c r="H1702" s="5" t="s">
        <v>20</v>
      </c>
      <c r="I1702" s="5" t="s">
        <v>4306</v>
      </c>
      <c r="J1702" s="12" t="str">
        <f>HYPERLINK("https://www.boe.es/gazeta/dias/1807/06/12/pdfs/GMD-1807-50.pdf#page=11","Abrir facsímil")</f>
        <v>Abrir facsímil</v>
      </c>
      <c r="K1702" s="15" t="s">
        <v>22</v>
      </c>
    </row>
    <row r="1703" spans="1:11" ht="42" customHeight="1">
      <c r="A1703" s="4" t="s">
        <v>4307</v>
      </c>
      <c r="B1703" s="5" t="s">
        <v>4307</v>
      </c>
      <c r="C1703" s="5" t="s">
        <v>34</v>
      </c>
      <c r="D1703" s="5" t="s">
        <v>35</v>
      </c>
      <c r="E1703" s="5" t="s">
        <v>94</v>
      </c>
      <c r="F1703" s="9">
        <v>22</v>
      </c>
      <c r="G1703" s="9">
        <v>255</v>
      </c>
      <c r="H1703" s="5" t="s">
        <v>20</v>
      </c>
      <c r="I1703" s="5" t="s">
        <v>4308</v>
      </c>
      <c r="J1703" s="12" t="str">
        <f>HYPERLINK("https://www.boe.es/gazeta/dias/1807/03/06/pdfs/GMD-1807-22.pdf#page=7","Abrir facsímil")</f>
        <v>Abrir facsímil</v>
      </c>
      <c r="K1703" s="15" t="s">
        <v>22</v>
      </c>
    </row>
    <row r="1704" spans="1:11" ht="42" customHeight="1">
      <c r="A1704" s="4" t="s">
        <v>4309</v>
      </c>
      <c r="B1704" s="5" t="s">
        <v>4309</v>
      </c>
      <c r="C1704" s="5" t="s">
        <v>24</v>
      </c>
      <c r="D1704" s="5" t="s">
        <v>18</v>
      </c>
      <c r="E1704" s="5" t="s">
        <v>149</v>
      </c>
      <c r="F1704" s="9">
        <v>38</v>
      </c>
      <c r="G1704" s="9">
        <v>453</v>
      </c>
      <c r="H1704" s="5" t="s">
        <v>20</v>
      </c>
      <c r="I1704" s="5" t="s">
        <v>4310</v>
      </c>
      <c r="J1704" s="12" t="str">
        <f>HYPERLINK("https://www.boe.es/gazeta/dias/1807/05/01/pdfs/GMD-1807-38.pdf#page=9","Abrir facsímil")</f>
        <v>Abrir facsímil</v>
      </c>
      <c r="K1704" s="15" t="s">
        <v>22</v>
      </c>
    </row>
    <row r="1705" spans="1:11" ht="42" customHeight="1">
      <c r="A1705" s="4" t="s">
        <v>4311</v>
      </c>
      <c r="B1705" s="5" t="s">
        <v>4311</v>
      </c>
      <c r="C1705" s="5" t="s">
        <v>34</v>
      </c>
      <c r="D1705" s="5" t="s">
        <v>35</v>
      </c>
      <c r="E1705" s="5" t="s">
        <v>208</v>
      </c>
      <c r="F1705" s="9">
        <v>42</v>
      </c>
      <c r="G1705" s="9">
        <v>501</v>
      </c>
      <c r="H1705" s="5" t="s">
        <v>20</v>
      </c>
      <c r="I1705" s="5" t="s">
        <v>4312</v>
      </c>
      <c r="J1705" s="12" t="str">
        <f>HYPERLINK("https://www.boe.es/gazeta/dias/1807/05/15/pdfs/GMD-1807-42.pdf#page=7","Abrir facsímil")</f>
        <v>Abrir facsímil</v>
      </c>
      <c r="K1705" s="15" t="s">
        <v>22</v>
      </c>
    </row>
    <row r="1706" spans="1:11" ht="42" customHeight="1">
      <c r="A1706" s="4" t="s">
        <v>4313</v>
      </c>
      <c r="B1706" s="5" t="s">
        <v>4313</v>
      </c>
      <c r="C1706" s="5" t="s">
        <v>34</v>
      </c>
      <c r="D1706" s="5" t="s">
        <v>35</v>
      </c>
      <c r="E1706" s="5" t="s">
        <v>305</v>
      </c>
      <c r="F1706" s="9">
        <v>53</v>
      </c>
      <c r="G1706" s="9">
        <v>634</v>
      </c>
      <c r="H1706" s="5" t="s">
        <v>20</v>
      </c>
      <c r="I1706" s="5" t="s">
        <v>4314</v>
      </c>
      <c r="J1706" s="12" t="str">
        <f>HYPERLINK("https://www.boe.es/gazeta/dias/1807/06/23/pdfs/GMD-1807-53.pdf#page=8","Abrir facsímil")</f>
        <v>Abrir facsímil</v>
      </c>
      <c r="K1706" s="15" t="s">
        <v>22</v>
      </c>
    </row>
    <row r="1707" spans="1:11" ht="42" customHeight="1">
      <c r="A1707" s="4" t="s">
        <v>4315</v>
      </c>
      <c r="B1707" s="5" t="s">
        <v>4315</v>
      </c>
      <c r="C1707" s="5" t="s">
        <v>34</v>
      </c>
      <c r="D1707" s="5" t="s">
        <v>35</v>
      </c>
      <c r="E1707" s="5" t="s">
        <v>86</v>
      </c>
      <c r="F1707" s="9">
        <v>12</v>
      </c>
      <c r="G1707" s="9">
        <v>136</v>
      </c>
      <c r="H1707" s="5" t="s">
        <v>20</v>
      </c>
      <c r="I1707" s="5" t="s">
        <v>4316</v>
      </c>
      <c r="J1707" s="12" t="str">
        <f>HYPERLINK("https://www.boe.es/gazeta/dias/1807/02/03/pdfs/GMD-1807-12.pdf#page=8","Abrir facsímil")</f>
        <v>Abrir facsímil</v>
      </c>
      <c r="K1707" s="15" t="s">
        <v>22</v>
      </c>
    </row>
    <row r="1708" spans="1:11" ht="42" customHeight="1">
      <c r="A1708" s="4" t="s">
        <v>4317</v>
      </c>
      <c r="B1708" s="5" t="s">
        <v>4317</v>
      </c>
      <c r="C1708" s="5" t="s">
        <v>24</v>
      </c>
      <c r="D1708" s="5" t="s">
        <v>18</v>
      </c>
      <c r="E1708" s="5" t="s">
        <v>530</v>
      </c>
      <c r="F1708" s="9">
        <v>79</v>
      </c>
      <c r="G1708" s="9">
        <v>914</v>
      </c>
      <c r="H1708" s="5" t="s">
        <v>20</v>
      </c>
      <c r="I1708" s="5" t="s">
        <v>4318</v>
      </c>
      <c r="J1708" s="12" t="str">
        <f>HYPERLINK("https://www.boe.es/gazeta/dias/1807/09/04/pdfs/GMD-1807-79.pdf#page=6","Abrir facsímil")</f>
        <v>Abrir facsímil</v>
      </c>
      <c r="K1708" s="15" t="s">
        <v>22</v>
      </c>
    </row>
    <row r="1709" spans="1:11" ht="42" customHeight="1">
      <c r="A1709" s="4" t="s">
        <v>4317</v>
      </c>
      <c r="B1709" s="5" t="s">
        <v>4317</v>
      </c>
      <c r="C1709" s="5" t="s">
        <v>49</v>
      </c>
      <c r="D1709" s="5" t="s">
        <v>50</v>
      </c>
      <c r="E1709" s="5" t="s">
        <v>530</v>
      </c>
      <c r="F1709" s="9">
        <v>79</v>
      </c>
      <c r="G1709" s="9">
        <v>915</v>
      </c>
      <c r="H1709" s="5" t="s">
        <v>20</v>
      </c>
      <c r="I1709" s="5" t="s">
        <v>4319</v>
      </c>
      <c r="J1709" s="12" t="str">
        <f>HYPERLINK("https://www.boe.es/gazeta/dias/1807/09/04/pdfs/GMD-1807-79.pdf#page=7","Abrir facsímil")</f>
        <v>Abrir facsímil</v>
      </c>
      <c r="K1709" s="15" t="s">
        <v>22</v>
      </c>
    </row>
    <row r="1710" spans="1:11" ht="42" customHeight="1">
      <c r="A1710" s="4" t="s">
        <v>4320</v>
      </c>
      <c r="B1710" s="5" t="s">
        <v>4321</v>
      </c>
      <c r="C1710" s="5" t="s">
        <v>28</v>
      </c>
      <c r="D1710" s="5" t="s">
        <v>29</v>
      </c>
      <c r="E1710" s="5" t="s">
        <v>208</v>
      </c>
      <c r="F1710" s="9">
        <v>42</v>
      </c>
      <c r="G1710" s="9">
        <v>505</v>
      </c>
      <c r="H1710" s="5" t="s">
        <v>20</v>
      </c>
      <c r="I1710" s="5" t="s">
        <v>4322</v>
      </c>
      <c r="J1710" s="12" t="str">
        <f>HYPERLINK("https://www.boe.es/gazeta/dias/1807/05/15/pdfs/GMD-1807-42.pdf#page=11","Abrir facsímil")</f>
        <v>Abrir facsímil</v>
      </c>
      <c r="K1710" s="15" t="s">
        <v>22</v>
      </c>
    </row>
    <row r="1711" spans="1:11" ht="42" customHeight="1">
      <c r="A1711" s="4" t="s">
        <v>4323</v>
      </c>
      <c r="B1711" s="5" t="s">
        <v>4324</v>
      </c>
      <c r="C1711" s="5" t="s">
        <v>49</v>
      </c>
      <c r="D1711" s="5" t="s">
        <v>50</v>
      </c>
      <c r="E1711" s="5" t="s">
        <v>350</v>
      </c>
      <c r="F1711" s="9">
        <v>112</v>
      </c>
      <c r="G1711" s="9">
        <v>1301</v>
      </c>
      <c r="H1711" s="5" t="s">
        <v>20</v>
      </c>
      <c r="I1711" s="5" t="s">
        <v>4325</v>
      </c>
      <c r="J1711" s="12" t="str">
        <f>HYPERLINK("https://www.boe.es/gazeta/dias/1807/12/18/pdfs/GMD-1807-112.pdf#page=1","Abrir facsímil")</f>
        <v>Abrir facsímil</v>
      </c>
      <c r="K1711" s="15" t="s">
        <v>22</v>
      </c>
    </row>
    <row r="1712" spans="1:11" ht="42" customHeight="1">
      <c r="A1712" s="4" t="s">
        <v>4326</v>
      </c>
      <c r="B1712" s="5" t="s">
        <v>4326</v>
      </c>
      <c r="C1712" s="5" t="s">
        <v>28</v>
      </c>
      <c r="D1712" s="5" t="s">
        <v>29</v>
      </c>
      <c r="E1712" s="5" t="s">
        <v>406</v>
      </c>
      <c r="F1712" s="9">
        <v>82</v>
      </c>
      <c r="G1712" s="9">
        <v>955</v>
      </c>
      <c r="H1712" s="5" t="s">
        <v>20</v>
      </c>
      <c r="I1712" s="5" t="s">
        <v>4327</v>
      </c>
      <c r="J1712" s="12" t="str">
        <f>HYPERLINK("https://www.boe.es/gazeta/dias/1807/09/15/pdfs/GMD-1807-82.pdf#page=7","Abrir facsímil")</f>
        <v>Abrir facsímil</v>
      </c>
      <c r="K1712" s="15" t="s">
        <v>22</v>
      </c>
    </row>
    <row r="1713" spans="1:11" ht="42" customHeight="1">
      <c r="A1713" s="4" t="s">
        <v>4328</v>
      </c>
      <c r="B1713" s="5" t="s">
        <v>4329</v>
      </c>
      <c r="C1713" s="5" t="s">
        <v>34</v>
      </c>
      <c r="D1713" s="5" t="s">
        <v>35</v>
      </c>
      <c r="E1713" s="5" t="s">
        <v>106</v>
      </c>
      <c r="F1713" s="9">
        <v>39</v>
      </c>
      <c r="G1713" s="9">
        <v>465</v>
      </c>
      <c r="H1713" s="5" t="s">
        <v>20</v>
      </c>
      <c r="I1713" s="5" t="s">
        <v>4330</v>
      </c>
      <c r="J1713" s="12" t="str">
        <f>HYPERLINK("https://www.boe.es/gazeta/dias/1807/05/05/pdfs/GMD-1807-39.pdf#page=7","Abrir facsímil")</f>
        <v>Abrir facsímil</v>
      </c>
      <c r="K1713" s="15" t="s">
        <v>22</v>
      </c>
    </row>
    <row r="1714" spans="1:11" ht="42" customHeight="1">
      <c r="A1714" s="4" t="s">
        <v>4331</v>
      </c>
      <c r="B1714" s="5" t="s">
        <v>4332</v>
      </c>
      <c r="C1714" s="5" t="s">
        <v>28</v>
      </c>
      <c r="D1714" s="5" t="s">
        <v>29</v>
      </c>
      <c r="E1714" s="5" t="s">
        <v>104</v>
      </c>
      <c r="F1714" s="9">
        <v>25</v>
      </c>
      <c r="G1714" s="9">
        <v>302</v>
      </c>
      <c r="H1714" s="5" t="s">
        <v>20</v>
      </c>
      <c r="I1714" s="5" t="s">
        <v>4333</v>
      </c>
      <c r="J1714" s="12" t="str">
        <f>HYPERLINK("https://www.boe.es/gazeta/dias/1807/03/17/pdfs/GMD-1807-25.pdf#page=10","Abrir facsímil")</f>
        <v>Abrir facsímil</v>
      </c>
      <c r="K1714" s="15" t="s">
        <v>22</v>
      </c>
    </row>
    <row r="1715" spans="1:11" ht="42" customHeight="1">
      <c r="A1715" s="4" t="s">
        <v>4331</v>
      </c>
      <c r="B1715" s="5" t="s">
        <v>4332</v>
      </c>
      <c r="C1715" s="5" t="s">
        <v>28</v>
      </c>
      <c r="D1715" s="5" t="s">
        <v>29</v>
      </c>
      <c r="E1715" s="5" t="s">
        <v>53</v>
      </c>
      <c r="F1715" s="9">
        <v>64</v>
      </c>
      <c r="G1715" s="9">
        <v>748</v>
      </c>
      <c r="H1715" s="5" t="s">
        <v>20</v>
      </c>
      <c r="I1715" s="5" t="s">
        <v>4334</v>
      </c>
      <c r="J1715" s="12" t="str">
        <f>HYPERLINK("https://www.boe.es/gazeta/dias/1807/07/21/pdfs/GMD-1807-64.pdf#page=10","Abrir facsímil")</f>
        <v>Abrir facsímil</v>
      </c>
      <c r="K1715" s="15" t="s">
        <v>22</v>
      </c>
    </row>
    <row r="1716" spans="1:11" ht="42" customHeight="1">
      <c r="A1716" s="4" t="s">
        <v>4331</v>
      </c>
      <c r="B1716" s="5" t="s">
        <v>4332</v>
      </c>
      <c r="C1716" s="5" t="s">
        <v>28</v>
      </c>
      <c r="D1716" s="5" t="s">
        <v>29</v>
      </c>
      <c r="E1716" s="5" t="s">
        <v>754</v>
      </c>
      <c r="F1716" s="9">
        <v>103</v>
      </c>
      <c r="G1716" s="9">
        <v>1203</v>
      </c>
      <c r="H1716" s="5" t="s">
        <v>20</v>
      </c>
      <c r="I1716" s="5" t="s">
        <v>4335</v>
      </c>
      <c r="J1716" s="12" t="str">
        <f>HYPERLINK("https://www.boe.es/gazeta/dias/1807/11/20/pdfs/GMD-1807-103.pdf#page=11","Abrir facsímil")</f>
        <v>Abrir facsímil</v>
      </c>
      <c r="K1716" s="15" t="s">
        <v>22</v>
      </c>
    </row>
    <row r="1717" spans="1:11" ht="42" customHeight="1">
      <c r="A1717" s="4" t="s">
        <v>4336</v>
      </c>
      <c r="B1717" s="5" t="s">
        <v>4336</v>
      </c>
      <c r="C1717" s="5" t="s">
        <v>34</v>
      </c>
      <c r="D1717" s="5" t="s">
        <v>35</v>
      </c>
      <c r="E1717" s="5" t="s">
        <v>219</v>
      </c>
      <c r="F1717" s="9">
        <v>56</v>
      </c>
      <c r="G1717" s="9">
        <v>664</v>
      </c>
      <c r="H1717" s="5" t="s">
        <v>20</v>
      </c>
      <c r="I1717" s="5" t="s">
        <v>4337</v>
      </c>
      <c r="J1717" s="12" t="str">
        <f>HYPERLINK("https://www.boe.es/gazeta/dias/1807/07/03/pdfs/GMD-1807-56.pdf#page=2","Abrir facsímil")</f>
        <v>Abrir facsímil</v>
      </c>
      <c r="K1717" s="15" t="s">
        <v>22</v>
      </c>
    </row>
    <row r="1718" spans="1:11" ht="42" customHeight="1">
      <c r="A1718" s="4" t="s">
        <v>4338</v>
      </c>
      <c r="B1718" s="5" t="s">
        <v>4339</v>
      </c>
      <c r="C1718" s="5" t="s">
        <v>34</v>
      </c>
      <c r="D1718" s="5" t="s">
        <v>35</v>
      </c>
      <c r="E1718" s="5" t="s">
        <v>183</v>
      </c>
      <c r="F1718" s="9">
        <v>1</v>
      </c>
      <c r="G1718" s="9">
        <v>11</v>
      </c>
      <c r="H1718" s="5" t="s">
        <v>20</v>
      </c>
      <c r="I1718" s="5" t="s">
        <v>4340</v>
      </c>
      <c r="J1718" s="12" t="str">
        <f>HYPERLINK("https://www.boe.es/gazeta/dias/1807/01/02/pdfs/GMD-1807-1.pdf#page=11","Abrir facsímil")</f>
        <v>Abrir facsímil</v>
      </c>
      <c r="K1718" s="15" t="s">
        <v>22</v>
      </c>
    </row>
    <row r="1719" spans="1:11" ht="42" customHeight="1">
      <c r="A1719" s="4" t="s">
        <v>4341</v>
      </c>
      <c r="B1719" s="5" t="s">
        <v>4342</v>
      </c>
      <c r="C1719" s="5" t="s">
        <v>49</v>
      </c>
      <c r="D1719" s="5" t="s">
        <v>50</v>
      </c>
      <c r="E1719" s="5" t="s">
        <v>572</v>
      </c>
      <c r="F1719" s="9">
        <v>14</v>
      </c>
      <c r="G1719" s="9">
        <v>159</v>
      </c>
      <c r="H1719" s="5" t="s">
        <v>20</v>
      </c>
      <c r="I1719" s="5" t="s">
        <v>4343</v>
      </c>
      <c r="J1719" s="12" t="str">
        <f>HYPERLINK("https://www.boe.es/gazeta/dias/1807/02/10/pdfs/GMD-1807-14.pdf#page=7","Abrir facsímil")</f>
        <v>Abrir facsímil</v>
      </c>
      <c r="K1719" s="15" t="s">
        <v>22</v>
      </c>
    </row>
    <row r="1720" spans="1:11" ht="42" customHeight="1">
      <c r="A1720" s="4" t="s">
        <v>4344</v>
      </c>
      <c r="B1720" s="5" t="s">
        <v>4345</v>
      </c>
      <c r="C1720" s="5" t="s">
        <v>24</v>
      </c>
      <c r="D1720" s="5" t="s">
        <v>18</v>
      </c>
      <c r="E1720" s="5" t="s">
        <v>25</v>
      </c>
      <c r="F1720" s="9">
        <v>45</v>
      </c>
      <c r="G1720" s="9">
        <v>537</v>
      </c>
      <c r="H1720" s="5" t="s">
        <v>20</v>
      </c>
      <c r="I1720" s="5" t="s">
        <v>4346</v>
      </c>
      <c r="J1720" s="12" t="str">
        <f>HYPERLINK("https://www.boe.es/gazeta/dias/1807/05/26/pdfs/GMD-1807-45.pdf#page=7","Abrir facsímil")</f>
        <v>Abrir facsímil</v>
      </c>
      <c r="K1720" s="15" t="s">
        <v>22</v>
      </c>
    </row>
    <row r="1721" spans="1:11" ht="42" customHeight="1">
      <c r="A1721" s="4" t="s">
        <v>4347</v>
      </c>
      <c r="B1721" s="5" t="s">
        <v>4348</v>
      </c>
      <c r="C1721" s="5" t="s">
        <v>28</v>
      </c>
      <c r="D1721" s="5" t="s">
        <v>29</v>
      </c>
      <c r="E1721" s="5" t="s">
        <v>127</v>
      </c>
      <c r="F1721" s="9">
        <v>81</v>
      </c>
      <c r="G1721" s="9">
        <v>948</v>
      </c>
      <c r="H1721" s="5" t="s">
        <v>20</v>
      </c>
      <c r="I1721" s="5" t="s">
        <v>4349</v>
      </c>
      <c r="J1721" s="12" t="str">
        <f>HYPERLINK("https://www.boe.es/gazeta/dias/1807/09/11/pdfs/GMD-1807-81.pdf#page=12","Abrir facsímil")</f>
        <v>Abrir facsímil</v>
      </c>
      <c r="K1721" s="15" t="s">
        <v>22</v>
      </c>
    </row>
    <row r="1722" spans="1:11" ht="42" customHeight="1">
      <c r="A1722" s="4" t="s">
        <v>4347</v>
      </c>
      <c r="B1722" s="5" t="s">
        <v>4348</v>
      </c>
      <c r="C1722" s="5" t="s">
        <v>28</v>
      </c>
      <c r="D1722" s="5" t="s">
        <v>29</v>
      </c>
      <c r="E1722" s="5" t="s">
        <v>754</v>
      </c>
      <c r="F1722" s="9">
        <v>103</v>
      </c>
      <c r="G1722" s="9">
        <v>1204</v>
      </c>
      <c r="H1722" s="5" t="s">
        <v>20</v>
      </c>
      <c r="I1722" s="5" t="s">
        <v>4350</v>
      </c>
      <c r="J1722" s="12" t="str">
        <f>HYPERLINK("https://www.boe.es/gazeta/dias/1807/11/20/pdfs/GMD-1807-103.pdf#page=12","Abrir facsímil")</f>
        <v>Abrir facsímil</v>
      </c>
      <c r="K1722" s="15" t="s">
        <v>22</v>
      </c>
    </row>
    <row r="1723" spans="1:11" ht="42" customHeight="1">
      <c r="A1723" s="4" t="s">
        <v>4351</v>
      </c>
      <c r="B1723" s="5" t="s">
        <v>4351</v>
      </c>
      <c r="C1723" s="5" t="s">
        <v>49</v>
      </c>
      <c r="D1723" s="5" t="s">
        <v>50</v>
      </c>
      <c r="E1723" s="5" t="s">
        <v>620</v>
      </c>
      <c r="F1723" s="9">
        <v>84</v>
      </c>
      <c r="G1723" s="9">
        <v>973</v>
      </c>
      <c r="H1723" s="5" t="s">
        <v>20</v>
      </c>
      <c r="I1723" s="5" t="s">
        <v>4352</v>
      </c>
      <c r="J1723" s="12" t="str">
        <f>HYPERLINK("https://www.boe.es/gazeta/dias/1807/09/22/pdfs/GMD-1807-84.pdf#page=1","Abrir facsímil")</f>
        <v>Abrir facsímil</v>
      </c>
      <c r="K1723" s="15" t="s">
        <v>22</v>
      </c>
    </row>
    <row r="1724" spans="1:11" ht="42" customHeight="1">
      <c r="A1724" s="4" t="s">
        <v>4351</v>
      </c>
      <c r="B1724" s="5" t="s">
        <v>4351</v>
      </c>
      <c r="C1724" s="5" t="s">
        <v>49</v>
      </c>
      <c r="D1724" s="5" t="s">
        <v>50</v>
      </c>
      <c r="E1724" s="5" t="s">
        <v>111</v>
      </c>
      <c r="F1724" s="9">
        <v>90</v>
      </c>
      <c r="G1724" s="9">
        <v>1033</v>
      </c>
      <c r="H1724" s="5" t="s">
        <v>20</v>
      </c>
      <c r="I1724" s="5" t="s">
        <v>4353</v>
      </c>
      <c r="J1724" s="12" t="str">
        <f>HYPERLINK("https://www.boe.es/gazeta/dias/1807/10/06/pdfs/GMD-1807-90.pdf#page=1","Abrir facsímil")</f>
        <v>Abrir facsímil</v>
      </c>
      <c r="K1724" s="15" t="s">
        <v>22</v>
      </c>
    </row>
    <row r="1725" spans="1:11" ht="42" customHeight="1">
      <c r="A1725" s="4" t="s">
        <v>4354</v>
      </c>
      <c r="B1725" s="5" t="s">
        <v>4355</v>
      </c>
      <c r="C1725" s="5" t="s">
        <v>28</v>
      </c>
      <c r="D1725" s="5" t="s">
        <v>29</v>
      </c>
      <c r="E1725" s="5" t="s">
        <v>444</v>
      </c>
      <c r="F1725" s="9">
        <v>95</v>
      </c>
      <c r="G1725" s="9">
        <v>1106</v>
      </c>
      <c r="H1725" s="5" t="s">
        <v>20</v>
      </c>
      <c r="I1725" s="5" t="s">
        <v>4356</v>
      </c>
      <c r="J1725" s="12" t="str">
        <f>HYPERLINK("https://www.boe.es/gazeta/dias/1807/10/23/pdfs/GMD-1807-95.pdf#page=10","Abrir facsímil")</f>
        <v>Abrir facsímil</v>
      </c>
      <c r="K1725" s="15" t="s">
        <v>22</v>
      </c>
    </row>
    <row r="1726" spans="1:11" ht="42" customHeight="1">
      <c r="A1726" s="4" t="s">
        <v>4357</v>
      </c>
      <c r="B1726" s="5" t="s">
        <v>4358</v>
      </c>
      <c r="C1726" s="5" t="s">
        <v>34</v>
      </c>
      <c r="D1726" s="5" t="s">
        <v>35</v>
      </c>
      <c r="E1726" s="5" t="s">
        <v>1354</v>
      </c>
      <c r="F1726" s="9">
        <v>83</v>
      </c>
      <c r="G1726" s="9">
        <v>969</v>
      </c>
      <c r="H1726" s="5" t="s">
        <v>20</v>
      </c>
      <c r="I1726" s="5" t="s">
        <v>4359</v>
      </c>
      <c r="J1726" s="12" t="str">
        <f>HYPERLINK("https://www.boe.es/gazeta/dias/1807/09/18/pdfs/GMD-1807-83.pdf#page=9","Abrir facsímil")</f>
        <v>Abrir facsímil</v>
      </c>
      <c r="K1726" s="15" t="s">
        <v>22</v>
      </c>
    </row>
    <row r="1727" spans="1:11" ht="42" customHeight="1">
      <c r="A1727" s="4" t="s">
        <v>4360</v>
      </c>
      <c r="B1727" s="5" t="s">
        <v>4361</v>
      </c>
      <c r="C1727" s="5" t="s">
        <v>28</v>
      </c>
      <c r="D1727" s="5" t="s">
        <v>29</v>
      </c>
      <c r="E1727" s="5" t="s">
        <v>40</v>
      </c>
      <c r="F1727" s="9">
        <v>26</v>
      </c>
      <c r="G1727" s="9">
        <v>310</v>
      </c>
      <c r="H1727" s="5" t="s">
        <v>20</v>
      </c>
      <c r="I1727" s="5" t="s">
        <v>4362</v>
      </c>
      <c r="J1727" s="12" t="str">
        <f>HYPERLINK("https://www.boe.es/gazeta/dias/1807/03/20/pdfs/GMD-1807-26.pdf#page=6","Abrir facsímil")</f>
        <v>Abrir facsímil</v>
      </c>
      <c r="K1727" s="15" t="s">
        <v>22</v>
      </c>
    </row>
    <row r="1728" spans="1:11" ht="42" customHeight="1">
      <c r="A1728" s="4" t="s">
        <v>4363</v>
      </c>
      <c r="B1728" s="5" t="s">
        <v>4364</v>
      </c>
      <c r="C1728" s="5" t="s">
        <v>28</v>
      </c>
      <c r="D1728" s="5" t="s">
        <v>29</v>
      </c>
      <c r="E1728" s="5" t="s">
        <v>98</v>
      </c>
      <c r="F1728" s="9">
        <v>34</v>
      </c>
      <c r="G1728" s="9">
        <v>406</v>
      </c>
      <c r="H1728" s="5" t="s">
        <v>20</v>
      </c>
      <c r="I1728" s="5" t="s">
        <v>4365</v>
      </c>
      <c r="J1728" s="12" t="str">
        <f>HYPERLINK("https://www.boe.es/gazeta/dias/1807/04/17/pdfs/GMD-1807-34.pdf#page=10","Abrir facsímil")</f>
        <v>Abrir facsímil</v>
      </c>
      <c r="K1728" s="15" t="s">
        <v>22</v>
      </c>
    </row>
    <row r="1729" spans="1:11" ht="42" customHeight="1">
      <c r="A1729" s="4" t="s">
        <v>4366</v>
      </c>
      <c r="B1729" s="5" t="s">
        <v>4367</v>
      </c>
      <c r="C1729" s="5" t="s">
        <v>89</v>
      </c>
      <c r="D1729" s="5" t="s">
        <v>90</v>
      </c>
      <c r="E1729" s="5" t="s">
        <v>418</v>
      </c>
      <c r="F1729" s="9">
        <v>4</v>
      </c>
      <c r="G1729" s="9">
        <v>44</v>
      </c>
      <c r="H1729" s="5" t="s">
        <v>20</v>
      </c>
      <c r="I1729" s="5" t="s">
        <v>4368</v>
      </c>
      <c r="J1729" s="12" t="str">
        <f>HYPERLINK("https://www.boe.es/gazeta/dias/1807/01/13/pdfs/GMD-1807-4.pdf#page=12","Abrir facsímil")</f>
        <v>Abrir facsímil</v>
      </c>
      <c r="K1729" s="15" t="s">
        <v>22</v>
      </c>
    </row>
    <row r="1730" spans="1:11" ht="42" customHeight="1">
      <c r="A1730" s="4" t="s">
        <v>4369</v>
      </c>
      <c r="B1730" s="5" t="s">
        <v>4369</v>
      </c>
      <c r="C1730" s="5" t="s">
        <v>49</v>
      </c>
      <c r="D1730" s="5" t="s">
        <v>50</v>
      </c>
      <c r="E1730" s="5" t="s">
        <v>275</v>
      </c>
      <c r="F1730" s="9">
        <v>104</v>
      </c>
      <c r="G1730" s="9">
        <v>1208</v>
      </c>
      <c r="H1730" s="5" t="s">
        <v>20</v>
      </c>
      <c r="I1730" s="5" t="s">
        <v>4370</v>
      </c>
      <c r="J1730" s="12" t="str">
        <f>HYPERLINK("https://www.boe.es/gazeta/dias/1807/11/24/pdfs/GMD-1807-104.pdf#page=4","Abrir facsímil")</f>
        <v>Abrir facsímil</v>
      </c>
      <c r="K1730" s="15" t="s">
        <v>22</v>
      </c>
    </row>
    <row r="1731" spans="1:11" ht="42" customHeight="1">
      <c r="A1731" s="4" t="s">
        <v>4371</v>
      </c>
      <c r="B1731" s="5" t="s">
        <v>4372</v>
      </c>
      <c r="C1731" s="5" t="s">
        <v>34</v>
      </c>
      <c r="D1731" s="5" t="s">
        <v>35</v>
      </c>
      <c r="E1731" s="5" t="s">
        <v>40</v>
      </c>
      <c r="F1731" s="9">
        <v>26</v>
      </c>
      <c r="G1731" s="9">
        <v>313</v>
      </c>
      <c r="H1731" s="5" t="s">
        <v>20</v>
      </c>
      <c r="I1731" s="5" t="s">
        <v>4373</v>
      </c>
      <c r="J1731" s="12" t="str">
        <f>HYPERLINK("https://www.boe.es/gazeta/dias/1807/03/20/pdfs/GMD-1807-26.pdf#page=9","Abrir facsímil")</f>
        <v>Abrir facsímil</v>
      </c>
      <c r="K1731" s="15" t="s">
        <v>22</v>
      </c>
    </row>
    <row r="1732" spans="1:11" ht="42" customHeight="1">
      <c r="A1732" s="4" t="s">
        <v>4374</v>
      </c>
      <c r="B1732" s="5" t="s">
        <v>4375</v>
      </c>
      <c r="C1732" s="5" t="s">
        <v>28</v>
      </c>
      <c r="D1732" s="5" t="s">
        <v>29</v>
      </c>
      <c r="E1732" s="5" t="s">
        <v>42</v>
      </c>
      <c r="F1732" s="9">
        <v>31</v>
      </c>
      <c r="G1732" s="9">
        <v>367</v>
      </c>
      <c r="H1732" s="5" t="s">
        <v>20</v>
      </c>
      <c r="I1732" s="5" t="s">
        <v>4376</v>
      </c>
      <c r="J1732" s="12" t="str">
        <f>HYPERLINK("https://www.boe.es/gazeta/dias/1807/04/07/pdfs/GMD-1807-31.pdf#page=7","Abrir facsímil")</f>
        <v>Abrir facsímil</v>
      </c>
      <c r="K1732" s="15" t="s">
        <v>22</v>
      </c>
    </row>
    <row r="1733" spans="1:11" ht="42" customHeight="1">
      <c r="A1733" s="4" t="s">
        <v>4377</v>
      </c>
      <c r="B1733" s="5" t="s">
        <v>4377</v>
      </c>
      <c r="C1733" s="5" t="s">
        <v>89</v>
      </c>
      <c r="D1733" s="5" t="s">
        <v>90</v>
      </c>
      <c r="E1733" s="5" t="s">
        <v>327</v>
      </c>
      <c r="F1733" s="9">
        <v>108</v>
      </c>
      <c r="G1733" s="9">
        <v>1264</v>
      </c>
      <c r="H1733" s="5" t="s">
        <v>20</v>
      </c>
      <c r="I1733" s="5" t="s">
        <v>4378</v>
      </c>
      <c r="J1733" s="12" t="str">
        <f>HYPERLINK("https://www.boe.es/gazeta/dias/1807/12/04/pdfs/GMD-1807-108.pdf#page=12","Abrir facsímil")</f>
        <v>Abrir facsímil</v>
      </c>
      <c r="K1733" s="15" t="s">
        <v>22</v>
      </c>
    </row>
    <row r="1734" spans="1:11" ht="42" customHeight="1">
      <c r="A1734" s="4" t="s">
        <v>4379</v>
      </c>
      <c r="B1734" s="5" t="s">
        <v>4380</v>
      </c>
      <c r="C1734" s="5" t="s">
        <v>34</v>
      </c>
      <c r="D1734" s="5" t="s">
        <v>35</v>
      </c>
      <c r="E1734" s="5" t="s">
        <v>106</v>
      </c>
      <c r="F1734" s="9">
        <v>39</v>
      </c>
      <c r="G1734" s="9">
        <v>465</v>
      </c>
      <c r="H1734" s="5" t="s">
        <v>20</v>
      </c>
      <c r="I1734" s="5" t="s">
        <v>4381</v>
      </c>
      <c r="J1734" s="12" t="str">
        <f>HYPERLINK("https://www.boe.es/gazeta/dias/1807/05/05/pdfs/GMD-1807-39.pdf#page=7","Abrir facsímil")</f>
        <v>Abrir facsímil</v>
      </c>
      <c r="K1734" s="15" t="s">
        <v>22</v>
      </c>
    </row>
    <row r="1735" spans="1:11" ht="42" customHeight="1">
      <c r="A1735" s="4" t="s">
        <v>4382</v>
      </c>
      <c r="B1735" s="5" t="s">
        <v>4383</v>
      </c>
      <c r="C1735" s="5" t="s">
        <v>34</v>
      </c>
      <c r="D1735" s="5" t="s">
        <v>35</v>
      </c>
      <c r="E1735" s="5" t="s">
        <v>186</v>
      </c>
      <c r="F1735" s="9">
        <v>72</v>
      </c>
      <c r="G1735" s="9">
        <v>828</v>
      </c>
      <c r="H1735" s="5" t="s">
        <v>20</v>
      </c>
      <c r="I1735" s="5" t="s">
        <v>4384</v>
      </c>
      <c r="J1735" s="12" t="str">
        <f>HYPERLINK("https://www.boe.es/gazeta/dias/1807/08/11/pdfs/GMD-1807-72.pdf#page=8","Abrir facsímil")</f>
        <v>Abrir facsímil</v>
      </c>
      <c r="K1735" s="15" t="s">
        <v>22</v>
      </c>
    </row>
    <row r="1736" spans="1:11" ht="42" customHeight="1">
      <c r="A1736" s="4" t="s">
        <v>4385</v>
      </c>
      <c r="B1736" s="5" t="s">
        <v>4386</v>
      </c>
      <c r="C1736" s="5" t="s">
        <v>17</v>
      </c>
      <c r="D1736" s="5" t="s">
        <v>18</v>
      </c>
      <c r="E1736" s="5" t="s">
        <v>390</v>
      </c>
      <c r="F1736" s="9">
        <v>24</v>
      </c>
      <c r="G1736" s="9">
        <v>291</v>
      </c>
      <c r="H1736" s="5" t="s">
        <v>20</v>
      </c>
      <c r="I1736" s="5" t="s">
        <v>4387</v>
      </c>
      <c r="J1736" s="12" t="str">
        <f>HYPERLINK("https://www.boe.es/gazeta/dias/1807/03/13/pdfs/GMD-1807-24.pdf#page=15","Abrir facsímil")</f>
        <v>Abrir facsímil</v>
      </c>
      <c r="K1736" s="15" t="s">
        <v>22</v>
      </c>
    </row>
    <row r="1737" spans="1:11" ht="42" customHeight="1">
      <c r="A1737" s="4" t="s">
        <v>4388</v>
      </c>
      <c r="B1737" s="5" t="s">
        <v>4389</v>
      </c>
      <c r="C1737" s="5" t="s">
        <v>28</v>
      </c>
      <c r="D1737" s="5" t="s">
        <v>29</v>
      </c>
      <c r="E1737" s="5" t="s">
        <v>530</v>
      </c>
      <c r="F1737" s="9">
        <v>79</v>
      </c>
      <c r="G1737" s="9">
        <v>919</v>
      </c>
      <c r="H1737" s="5" t="s">
        <v>20</v>
      </c>
      <c r="I1737" s="5" t="s">
        <v>4390</v>
      </c>
      <c r="J1737" s="12" t="str">
        <f>HYPERLINK("https://www.boe.es/gazeta/dias/1807/09/04/pdfs/GMD-1807-79.pdf#page=11","Abrir facsímil")</f>
        <v>Abrir facsímil</v>
      </c>
      <c r="K1737" s="15" t="s">
        <v>22</v>
      </c>
    </row>
    <row r="1738" spans="1:11" ht="42" customHeight="1">
      <c r="A1738" s="4" t="s">
        <v>4391</v>
      </c>
      <c r="B1738" s="5" t="s">
        <v>4392</v>
      </c>
      <c r="C1738" s="5" t="s">
        <v>34</v>
      </c>
      <c r="D1738" s="5" t="s">
        <v>35</v>
      </c>
      <c r="E1738" s="5" t="s">
        <v>109</v>
      </c>
      <c r="F1738" s="9">
        <v>58</v>
      </c>
      <c r="G1738" s="9">
        <v>688</v>
      </c>
      <c r="H1738" s="5" t="s">
        <v>20</v>
      </c>
      <c r="I1738" s="5" t="s">
        <v>4393</v>
      </c>
      <c r="J1738" s="12" t="str">
        <f>HYPERLINK("https://www.boe.es/gazeta/dias/1807/07/07/pdfs/GMD-1807-58.pdf#page=6","Abrir facsímil")</f>
        <v>Abrir facsímil</v>
      </c>
      <c r="K1738" s="15" t="s">
        <v>22</v>
      </c>
    </row>
    <row r="1739" spans="1:11" ht="42" customHeight="1">
      <c r="A1739" s="4" t="s">
        <v>4394</v>
      </c>
      <c r="B1739" s="5" t="s">
        <v>4395</v>
      </c>
      <c r="C1739" s="5" t="s">
        <v>28</v>
      </c>
      <c r="D1739" s="5" t="s">
        <v>29</v>
      </c>
      <c r="E1739" s="5" t="s">
        <v>120</v>
      </c>
      <c r="F1739" s="9">
        <v>10</v>
      </c>
      <c r="G1739" s="9">
        <v>115</v>
      </c>
      <c r="H1739" s="5" t="s">
        <v>20</v>
      </c>
      <c r="I1739" s="5" t="s">
        <v>4396</v>
      </c>
      <c r="J1739" s="12" t="str">
        <f>HYPERLINK("https://www.boe.es/gazeta/dias/1807/01/27/pdfs/GMD-1807-10.pdf#page=11","Abrir facsímil")</f>
        <v>Abrir facsímil</v>
      </c>
      <c r="K1739" s="15" t="s">
        <v>22</v>
      </c>
    </row>
    <row r="1740" spans="1:11" ht="42" customHeight="1">
      <c r="A1740" s="4" t="s">
        <v>4397</v>
      </c>
      <c r="B1740" s="5" t="s">
        <v>4398</v>
      </c>
      <c r="C1740" s="5" t="s">
        <v>34</v>
      </c>
      <c r="D1740" s="5" t="s">
        <v>35</v>
      </c>
      <c r="E1740" s="5" t="s">
        <v>186</v>
      </c>
      <c r="F1740" s="9">
        <v>72</v>
      </c>
      <c r="G1740" s="9">
        <v>828</v>
      </c>
      <c r="H1740" s="5" t="s">
        <v>20</v>
      </c>
      <c r="I1740" s="5" t="s">
        <v>4399</v>
      </c>
      <c r="J1740" s="12" t="str">
        <f>HYPERLINK("https://www.boe.es/gazeta/dias/1807/08/11/pdfs/GMD-1807-72.pdf#page=8","Abrir facsímil")</f>
        <v>Abrir facsímil</v>
      </c>
      <c r="K1740" s="15" t="s">
        <v>22</v>
      </c>
    </row>
    <row r="1741" spans="1:11" ht="42" customHeight="1">
      <c r="A1741" s="4" t="s">
        <v>4400</v>
      </c>
      <c r="B1741" s="5" t="s">
        <v>4400</v>
      </c>
      <c r="C1741" s="5" t="s">
        <v>49</v>
      </c>
      <c r="D1741" s="5" t="s">
        <v>50</v>
      </c>
      <c r="E1741" s="5" t="s">
        <v>393</v>
      </c>
      <c r="F1741" s="9">
        <v>15</v>
      </c>
      <c r="G1741" s="9">
        <v>167</v>
      </c>
      <c r="H1741" s="5" t="s">
        <v>20</v>
      </c>
      <c r="I1741" s="5" t="s">
        <v>4401</v>
      </c>
      <c r="J1741" s="12" t="str">
        <f>HYPERLINK("https://www.boe.es/gazeta/dias/1807/02/13/pdfs/GMD-1807-15.pdf#page=3","Abrir facsímil")</f>
        <v>Abrir facsímil</v>
      </c>
      <c r="K1741" s="15" t="s">
        <v>22</v>
      </c>
    </row>
    <row r="1742" spans="1:11" ht="42" customHeight="1">
      <c r="A1742" s="4" t="s">
        <v>4400</v>
      </c>
      <c r="B1742" s="5" t="s">
        <v>4400</v>
      </c>
      <c r="C1742" s="5" t="s">
        <v>49</v>
      </c>
      <c r="D1742" s="5" t="s">
        <v>50</v>
      </c>
      <c r="E1742" s="5" t="s">
        <v>1354</v>
      </c>
      <c r="F1742" s="9">
        <v>83</v>
      </c>
      <c r="G1742" s="9">
        <v>968</v>
      </c>
      <c r="H1742" s="5" t="s">
        <v>20</v>
      </c>
      <c r="I1742" s="5" t="s">
        <v>4402</v>
      </c>
      <c r="J1742" s="12" t="str">
        <f>HYPERLINK("https://www.boe.es/gazeta/dias/1807/09/18/pdfs/GMD-1807-83.pdf#page=8","Abrir facsímil")</f>
        <v>Abrir facsímil</v>
      </c>
      <c r="K1742" s="15" t="s">
        <v>22</v>
      </c>
    </row>
    <row r="1743" spans="1:11" ht="42" customHeight="1">
      <c r="A1743" s="4" t="s">
        <v>4400</v>
      </c>
      <c r="B1743" s="5" t="s">
        <v>4400</v>
      </c>
      <c r="C1743" s="5" t="s">
        <v>49</v>
      </c>
      <c r="D1743" s="5" t="s">
        <v>50</v>
      </c>
      <c r="E1743" s="5" t="s">
        <v>296</v>
      </c>
      <c r="F1743" s="9">
        <v>102</v>
      </c>
      <c r="G1743" s="9">
        <v>1188</v>
      </c>
      <c r="H1743" s="5" t="s">
        <v>20</v>
      </c>
      <c r="I1743" s="5" t="s">
        <v>4403</v>
      </c>
      <c r="J1743" s="12" t="str">
        <f>HYPERLINK("https://www.boe.es/gazeta/dias/1807/11/17/pdfs/GMD-1807-102.pdf#page=8","Abrir facsímil")</f>
        <v>Abrir facsímil</v>
      </c>
      <c r="K1743" s="15" t="s">
        <v>22</v>
      </c>
    </row>
    <row r="1744" spans="1:11" ht="42" customHeight="1">
      <c r="A1744" s="4" t="s">
        <v>4400</v>
      </c>
      <c r="B1744" s="5" t="s">
        <v>4400</v>
      </c>
      <c r="C1744" s="5" t="s">
        <v>28</v>
      </c>
      <c r="D1744" s="5" t="s">
        <v>29</v>
      </c>
      <c r="E1744" s="5" t="s">
        <v>309</v>
      </c>
      <c r="F1744" s="9">
        <v>107</v>
      </c>
      <c r="G1744" s="9">
        <v>1246</v>
      </c>
      <c r="H1744" s="5" t="s">
        <v>20</v>
      </c>
      <c r="I1744" s="5" t="s">
        <v>4404</v>
      </c>
      <c r="J1744" s="12" t="str">
        <f>HYPERLINK("https://www.boe.es/gazeta/dias/1807/12/01/pdfs/GMD-1807-107.pdf#page=6","Abrir facsímil")</f>
        <v>Abrir facsímil</v>
      </c>
      <c r="K1744" s="15" t="s">
        <v>22</v>
      </c>
    </row>
    <row r="1745" spans="1:11" ht="42" customHeight="1">
      <c r="A1745" s="4" t="s">
        <v>4400</v>
      </c>
      <c r="B1745" s="5" t="s">
        <v>4400</v>
      </c>
      <c r="C1745" s="5" t="s">
        <v>28</v>
      </c>
      <c r="D1745" s="5" t="s">
        <v>29</v>
      </c>
      <c r="E1745" s="5" t="s">
        <v>91</v>
      </c>
      <c r="F1745" s="9">
        <v>109</v>
      </c>
      <c r="G1745" s="9">
        <v>1270</v>
      </c>
      <c r="H1745" s="5" t="s">
        <v>20</v>
      </c>
      <c r="I1745" s="5" t="s">
        <v>4405</v>
      </c>
      <c r="J1745" s="12" t="str">
        <f>HYPERLINK("https://www.boe.es/gazeta/dias/1807/12/08/pdfs/GMD-1807-109.pdf#page=6","Abrir facsímil")</f>
        <v>Abrir facsímil</v>
      </c>
      <c r="K1745" s="15" t="s">
        <v>22</v>
      </c>
    </row>
    <row r="1746" spans="1:11" ht="42" customHeight="1">
      <c r="A1746" s="4" t="s">
        <v>4406</v>
      </c>
      <c r="B1746" s="5" t="s">
        <v>4407</v>
      </c>
      <c r="C1746" s="5" t="s">
        <v>34</v>
      </c>
      <c r="D1746" s="5" t="s">
        <v>35</v>
      </c>
      <c r="E1746" s="5" t="s">
        <v>376</v>
      </c>
      <c r="F1746" s="9">
        <v>19</v>
      </c>
      <c r="G1746" s="9">
        <v>225</v>
      </c>
      <c r="H1746" s="5" t="s">
        <v>20</v>
      </c>
      <c r="I1746" s="5" t="s">
        <v>4408</v>
      </c>
      <c r="J1746" s="12" t="str">
        <f>HYPERLINK("https://www.boe.es/gazeta/dias/1807/02/27/pdfs/GMD-1807-19.pdf#page=9","Abrir facsímil")</f>
        <v>Abrir facsímil</v>
      </c>
      <c r="K1746" s="15" t="s">
        <v>22</v>
      </c>
    </row>
    <row r="1747" spans="1:11" ht="42" customHeight="1">
      <c r="A1747" s="4" t="s">
        <v>4409</v>
      </c>
      <c r="B1747" s="5" t="s">
        <v>4410</v>
      </c>
      <c r="C1747" s="5" t="s">
        <v>34</v>
      </c>
      <c r="D1747" s="5" t="s">
        <v>35</v>
      </c>
      <c r="E1747" s="5" t="s">
        <v>183</v>
      </c>
      <c r="F1747" s="9">
        <v>1</v>
      </c>
      <c r="G1747" s="9">
        <v>12</v>
      </c>
      <c r="H1747" s="5" t="s">
        <v>20</v>
      </c>
      <c r="I1747" s="5" t="s">
        <v>4411</v>
      </c>
      <c r="J1747" s="12" t="str">
        <f>HYPERLINK("https://www.boe.es/gazeta/dias/1807/01/02/pdfs/GMD-1807-1.pdf#page=12","Abrir facsímil")</f>
        <v>Abrir facsímil</v>
      </c>
      <c r="K1747" s="15" t="s">
        <v>22</v>
      </c>
    </row>
    <row r="1748" spans="1:11" ht="42" customHeight="1">
      <c r="A1748" s="4" t="s">
        <v>4412</v>
      </c>
      <c r="B1748" s="5" t="s">
        <v>4413</v>
      </c>
      <c r="C1748" s="5" t="s">
        <v>28</v>
      </c>
      <c r="D1748" s="5" t="s">
        <v>29</v>
      </c>
      <c r="E1748" s="5" t="s">
        <v>350</v>
      </c>
      <c r="F1748" s="9">
        <v>112</v>
      </c>
      <c r="G1748" s="9">
        <v>1311</v>
      </c>
      <c r="H1748" s="5" t="s">
        <v>20</v>
      </c>
      <c r="I1748" s="5" t="s">
        <v>4414</v>
      </c>
      <c r="J1748" s="12" t="str">
        <f>HYPERLINK("https://www.boe.es/gazeta/dias/1807/12/18/pdfs/GMD-1807-112.pdf#page=11","Abrir facsímil")</f>
        <v>Abrir facsímil</v>
      </c>
      <c r="K1748" s="15" t="s">
        <v>22</v>
      </c>
    </row>
    <row r="1749" spans="1:11" ht="42" customHeight="1">
      <c r="A1749" s="4" t="s">
        <v>4415</v>
      </c>
      <c r="B1749" s="5" t="s">
        <v>4416</v>
      </c>
      <c r="C1749" s="5" t="s">
        <v>34</v>
      </c>
      <c r="D1749" s="5" t="s">
        <v>35</v>
      </c>
      <c r="E1749" s="5" t="s">
        <v>139</v>
      </c>
      <c r="F1749" s="9">
        <v>110</v>
      </c>
      <c r="G1749" s="9">
        <v>1284</v>
      </c>
      <c r="H1749" s="5" t="s">
        <v>20</v>
      </c>
      <c r="I1749" s="5" t="s">
        <v>4417</v>
      </c>
      <c r="J1749" s="12" t="str">
        <f>HYPERLINK("https://www.boe.es/gazeta/dias/1807/12/11/pdfs/GMD-1807-110.pdf#page=8","Abrir facsímil")</f>
        <v>Abrir facsímil</v>
      </c>
      <c r="K1749" s="15" t="s">
        <v>22</v>
      </c>
    </row>
    <row r="1750" spans="1:11" ht="42" customHeight="1">
      <c r="A1750" s="4" t="s">
        <v>4418</v>
      </c>
      <c r="B1750" s="5" t="s">
        <v>4419</v>
      </c>
      <c r="C1750" s="5" t="s">
        <v>34</v>
      </c>
      <c r="D1750" s="5" t="s">
        <v>35</v>
      </c>
      <c r="E1750" s="5" t="s">
        <v>40</v>
      </c>
      <c r="F1750" s="9">
        <v>26</v>
      </c>
      <c r="G1750" s="9">
        <v>313</v>
      </c>
      <c r="H1750" s="5" t="s">
        <v>20</v>
      </c>
      <c r="I1750" s="5" t="s">
        <v>4420</v>
      </c>
      <c r="J1750" s="12" t="str">
        <f>HYPERLINK("https://www.boe.es/gazeta/dias/1807/03/20/pdfs/GMD-1807-26.pdf#page=9","Abrir facsímil")</f>
        <v>Abrir facsímil</v>
      </c>
      <c r="K1750" s="15" t="s">
        <v>22</v>
      </c>
    </row>
    <row r="1751" spans="1:11" ht="42" customHeight="1">
      <c r="A1751" s="4" t="s">
        <v>4421</v>
      </c>
      <c r="B1751" s="5" t="s">
        <v>4422</v>
      </c>
      <c r="C1751" s="5" t="s">
        <v>34</v>
      </c>
      <c r="D1751" s="5" t="s">
        <v>35</v>
      </c>
      <c r="E1751" s="5" t="s">
        <v>208</v>
      </c>
      <c r="F1751" s="9">
        <v>42</v>
      </c>
      <c r="G1751" s="9">
        <v>502</v>
      </c>
      <c r="H1751" s="5" t="s">
        <v>20</v>
      </c>
      <c r="I1751" s="5" t="s">
        <v>4423</v>
      </c>
      <c r="J1751" s="12" t="str">
        <f>HYPERLINK("https://www.boe.es/gazeta/dias/1807/05/15/pdfs/GMD-1807-42.pdf#page=8","Abrir facsímil")</f>
        <v>Abrir facsímil</v>
      </c>
      <c r="K1751" s="15" t="s">
        <v>22</v>
      </c>
    </row>
    <row r="1752" spans="1:11" ht="42" customHeight="1">
      <c r="A1752" s="4" t="s">
        <v>4424</v>
      </c>
      <c r="B1752" s="5" t="s">
        <v>4425</v>
      </c>
      <c r="C1752" s="5" t="s">
        <v>34</v>
      </c>
      <c r="D1752" s="5" t="s">
        <v>35</v>
      </c>
      <c r="E1752" s="5" t="s">
        <v>464</v>
      </c>
      <c r="F1752" s="9">
        <v>18</v>
      </c>
      <c r="G1752" s="9">
        <v>212</v>
      </c>
      <c r="H1752" s="5" t="s">
        <v>20</v>
      </c>
      <c r="I1752" s="5" t="s">
        <v>4426</v>
      </c>
      <c r="J1752" s="12" t="str">
        <f>HYPERLINK("https://www.boe.es/gazeta/dias/1807/02/24/pdfs/GMD-1807-18.pdf#page=12","Abrir facsímil")</f>
        <v>Abrir facsímil</v>
      </c>
      <c r="K1752" s="15" t="s">
        <v>22</v>
      </c>
    </row>
    <row r="1753" spans="1:11" ht="42" customHeight="1">
      <c r="A1753" s="4" t="s">
        <v>4427</v>
      </c>
      <c r="B1753" s="5" t="s">
        <v>4428</v>
      </c>
      <c r="C1753" s="5" t="s">
        <v>34</v>
      </c>
      <c r="D1753" s="5" t="s">
        <v>35</v>
      </c>
      <c r="E1753" s="5" t="s">
        <v>444</v>
      </c>
      <c r="F1753" s="9">
        <v>95</v>
      </c>
      <c r="G1753" s="9">
        <v>1104</v>
      </c>
      <c r="H1753" s="5" t="s">
        <v>20</v>
      </c>
      <c r="I1753" s="5" t="s">
        <v>4429</v>
      </c>
      <c r="J1753" s="12" t="str">
        <f>HYPERLINK("https://www.boe.es/gazeta/dias/1807/10/23/pdfs/GMD-1807-95.pdf#page=8","Abrir facsímil")</f>
        <v>Abrir facsímil</v>
      </c>
      <c r="K1753" s="15" t="s">
        <v>22</v>
      </c>
    </row>
    <row r="1754" spans="1:11" ht="42" customHeight="1">
      <c r="A1754" s="4" t="s">
        <v>4430</v>
      </c>
      <c r="B1754" s="5" t="s">
        <v>4431</v>
      </c>
      <c r="C1754" s="5" t="s">
        <v>89</v>
      </c>
      <c r="D1754" s="5" t="s">
        <v>90</v>
      </c>
      <c r="E1754" s="5" t="s">
        <v>275</v>
      </c>
      <c r="F1754" s="9">
        <v>104</v>
      </c>
      <c r="G1754" s="9">
        <v>1216</v>
      </c>
      <c r="H1754" s="5" t="s">
        <v>20</v>
      </c>
      <c r="I1754" s="5" t="s">
        <v>4432</v>
      </c>
      <c r="J1754" s="12" t="str">
        <f>HYPERLINK("https://www.boe.es/gazeta/dias/1807/11/24/pdfs/GMD-1807-104.pdf#page=12","Abrir facsímil")</f>
        <v>Abrir facsímil</v>
      </c>
      <c r="K1754" s="15" t="s">
        <v>22</v>
      </c>
    </row>
    <row r="1755" spans="1:11" ht="42" customHeight="1">
      <c r="A1755" s="4" t="s">
        <v>4433</v>
      </c>
      <c r="B1755" s="5" t="s">
        <v>4433</v>
      </c>
      <c r="C1755" s="5" t="s">
        <v>34</v>
      </c>
      <c r="D1755" s="5" t="s">
        <v>35</v>
      </c>
      <c r="E1755" s="5" t="s">
        <v>654</v>
      </c>
      <c r="F1755" s="9">
        <v>94</v>
      </c>
      <c r="G1755" s="9">
        <v>1089</v>
      </c>
      <c r="H1755" s="5" t="s">
        <v>20</v>
      </c>
      <c r="I1755" s="5" t="s">
        <v>4434</v>
      </c>
      <c r="J1755" s="12" t="str">
        <f>HYPERLINK("https://www.boe.es/gazeta/dias/1807/10/20/pdfs/GMD-1807-94.pdf#page=5","Abrir facsímil")</f>
        <v>Abrir facsímil</v>
      </c>
      <c r="K1755" s="15" t="s">
        <v>22</v>
      </c>
    </row>
    <row r="1756" spans="1:11" ht="42" customHeight="1">
      <c r="A1756" s="4" t="s">
        <v>4435</v>
      </c>
      <c r="B1756" s="5" t="s">
        <v>4436</v>
      </c>
      <c r="C1756" s="5" t="s">
        <v>34</v>
      </c>
      <c r="D1756" s="5" t="s">
        <v>35</v>
      </c>
      <c r="E1756" s="5" t="s">
        <v>620</v>
      </c>
      <c r="F1756" s="9">
        <v>84</v>
      </c>
      <c r="G1756" s="9">
        <v>981</v>
      </c>
      <c r="H1756" s="5" t="s">
        <v>20</v>
      </c>
      <c r="I1756" s="5" t="s">
        <v>4437</v>
      </c>
      <c r="J1756" s="12" t="str">
        <f>HYPERLINK("https://www.boe.es/gazeta/dias/1807/09/22/pdfs/GMD-1807-84.pdf#page=9","Abrir facsímil")</f>
        <v>Abrir facsímil</v>
      </c>
      <c r="K1756" s="15" t="s">
        <v>22</v>
      </c>
    </row>
    <row r="1757" spans="1:11" ht="42" customHeight="1">
      <c r="A1757" s="4" t="s">
        <v>4438</v>
      </c>
      <c r="B1757" s="5" t="s">
        <v>4439</v>
      </c>
      <c r="C1757" s="5" t="s">
        <v>34</v>
      </c>
      <c r="D1757" s="5" t="s">
        <v>35</v>
      </c>
      <c r="E1757" s="5" t="s">
        <v>156</v>
      </c>
      <c r="F1757" s="9">
        <v>74</v>
      </c>
      <c r="G1757" s="9">
        <v>856</v>
      </c>
      <c r="H1757" s="5" t="s">
        <v>20</v>
      </c>
      <c r="I1757" s="5" t="s">
        <v>4440</v>
      </c>
      <c r="J1757" s="12" t="str">
        <f>HYPERLINK("https://www.boe.es/gazeta/dias/1807/08/18/pdfs/GMD-1807-74.pdf#page=8","Abrir facsímil")</f>
        <v>Abrir facsímil</v>
      </c>
      <c r="K1757" s="15" t="s">
        <v>22</v>
      </c>
    </row>
    <row r="1758" spans="1:11" ht="42" customHeight="1">
      <c r="A1758" s="4" t="s">
        <v>4441</v>
      </c>
      <c r="B1758" s="5" t="s">
        <v>4441</v>
      </c>
      <c r="C1758" s="5" t="s">
        <v>34</v>
      </c>
      <c r="D1758" s="5" t="s">
        <v>35</v>
      </c>
      <c r="E1758" s="5" t="s">
        <v>314</v>
      </c>
      <c r="F1758" s="9" t="s">
        <v>315</v>
      </c>
      <c r="G1758" s="9">
        <v>1221</v>
      </c>
      <c r="H1758" s="5" t="s">
        <v>20</v>
      </c>
      <c r="I1758" s="5" t="s">
        <v>4442</v>
      </c>
      <c r="J1758" s="12" t="str">
        <f>HYPERLINK("https://www.boe.es/gazeta/dias/1807/11/26/pdfs/GMD-1807-105E.pdf#page=5","Abrir facsímil")</f>
        <v>Abrir facsímil</v>
      </c>
      <c r="K1758" s="15" t="s">
        <v>22</v>
      </c>
    </row>
    <row r="1759" spans="1:11" ht="42" customHeight="1">
      <c r="A1759" s="4" t="s">
        <v>4443</v>
      </c>
      <c r="B1759" s="5" t="s">
        <v>4443</v>
      </c>
      <c r="C1759" s="5" t="s">
        <v>89</v>
      </c>
      <c r="D1759" s="5" t="s">
        <v>90</v>
      </c>
      <c r="E1759" s="5" t="s">
        <v>79</v>
      </c>
      <c r="F1759" s="9">
        <v>11</v>
      </c>
      <c r="G1759" s="9">
        <v>118</v>
      </c>
      <c r="H1759" s="5" t="s">
        <v>20</v>
      </c>
      <c r="I1759" s="5" t="s">
        <v>4444</v>
      </c>
      <c r="J1759" s="12" t="str">
        <f>HYPERLINK("https://www.boe.es/gazeta/dias/1807/01/30/pdfs/GMD-1807-11.pdf#page=2","Abrir facsímil")</f>
        <v>Abrir facsímil</v>
      </c>
      <c r="K1759" s="15" t="s">
        <v>22</v>
      </c>
    </row>
    <row r="1760" spans="1:11" ht="42" customHeight="1">
      <c r="A1760" s="4" t="s">
        <v>4445</v>
      </c>
      <c r="B1760" s="5" t="s">
        <v>4446</v>
      </c>
      <c r="C1760" s="5" t="s">
        <v>28</v>
      </c>
      <c r="D1760" s="5" t="s">
        <v>29</v>
      </c>
      <c r="E1760" s="5" t="s">
        <v>426</v>
      </c>
      <c r="F1760" s="9">
        <v>93</v>
      </c>
      <c r="G1760" s="9">
        <v>1083</v>
      </c>
      <c r="H1760" s="5" t="s">
        <v>20</v>
      </c>
      <c r="I1760" s="5" t="s">
        <v>4447</v>
      </c>
      <c r="J1760" s="12" t="str">
        <f>HYPERLINK("https://www.boe.es/gazeta/dias/1807/10/16/pdfs/GMD-1807-93.pdf#page=11","Abrir facsímil")</f>
        <v>Abrir facsímil</v>
      </c>
      <c r="K1760" s="15" t="s">
        <v>22</v>
      </c>
    </row>
    <row r="1761" spans="1:11" ht="42" customHeight="1">
      <c r="A1761" s="4" t="s">
        <v>4448</v>
      </c>
      <c r="B1761" s="5" t="s">
        <v>4449</v>
      </c>
      <c r="C1761" s="5" t="s">
        <v>34</v>
      </c>
      <c r="D1761" s="5" t="s">
        <v>35</v>
      </c>
      <c r="E1761" s="5" t="s">
        <v>296</v>
      </c>
      <c r="F1761" s="9">
        <v>102</v>
      </c>
      <c r="G1761" s="9">
        <v>1189</v>
      </c>
      <c r="H1761" s="5" t="s">
        <v>20</v>
      </c>
      <c r="I1761" s="5" t="s">
        <v>4450</v>
      </c>
      <c r="J1761" s="12" t="str">
        <f>HYPERLINK("https://www.boe.es/gazeta/dias/1807/11/17/pdfs/GMD-1807-102.pdf#page=9","Abrir facsímil")</f>
        <v>Abrir facsímil</v>
      </c>
      <c r="K1761" s="15" t="s">
        <v>22</v>
      </c>
    </row>
    <row r="1762" spans="1:11" ht="42" customHeight="1">
      <c r="A1762" s="4" t="s">
        <v>4451</v>
      </c>
      <c r="B1762" s="5" t="s">
        <v>4452</v>
      </c>
      <c r="C1762" s="5" t="s">
        <v>28</v>
      </c>
      <c r="D1762" s="5" t="s">
        <v>29</v>
      </c>
      <c r="E1762" s="5" t="s">
        <v>104</v>
      </c>
      <c r="F1762" s="9">
        <v>25</v>
      </c>
      <c r="G1762" s="9">
        <v>300</v>
      </c>
      <c r="H1762" s="5" t="s">
        <v>20</v>
      </c>
      <c r="I1762" s="5" t="s">
        <v>4453</v>
      </c>
      <c r="J1762" s="12" t="str">
        <f>HYPERLINK("https://www.boe.es/gazeta/dias/1807/03/17/pdfs/GMD-1807-25.pdf#page=8","Abrir facsímil")</f>
        <v>Abrir facsímil</v>
      </c>
      <c r="K1762" s="15" t="s">
        <v>22</v>
      </c>
    </row>
    <row r="1763" spans="1:11" ht="42" customHeight="1">
      <c r="A1763" s="4" t="s">
        <v>4454</v>
      </c>
      <c r="B1763" s="5" t="s">
        <v>4455</v>
      </c>
      <c r="C1763" s="5" t="s">
        <v>34</v>
      </c>
      <c r="D1763" s="5" t="s">
        <v>35</v>
      </c>
      <c r="E1763" s="5" t="s">
        <v>666</v>
      </c>
      <c r="F1763" s="9">
        <v>43</v>
      </c>
      <c r="G1763" s="9">
        <v>514</v>
      </c>
      <c r="H1763" s="5" t="s">
        <v>20</v>
      </c>
      <c r="I1763" s="5" t="s">
        <v>4456</v>
      </c>
      <c r="J1763" s="12" t="str">
        <f>HYPERLINK("https://www.boe.es/gazeta/dias/1807/05/19/pdfs/GMD-1807-43.pdf#page=8","Abrir facsímil")</f>
        <v>Abrir facsímil</v>
      </c>
      <c r="K1763" s="15" t="s">
        <v>22</v>
      </c>
    </row>
    <row r="1764" spans="1:11" ht="42" customHeight="1">
      <c r="A1764" s="4" t="s">
        <v>4457</v>
      </c>
      <c r="B1764" s="5" t="s">
        <v>4458</v>
      </c>
      <c r="C1764" s="5" t="s">
        <v>17</v>
      </c>
      <c r="D1764" s="5" t="s">
        <v>18</v>
      </c>
      <c r="E1764" s="5" t="s">
        <v>406</v>
      </c>
      <c r="F1764" s="9">
        <v>82</v>
      </c>
      <c r="G1764" s="9">
        <v>956</v>
      </c>
      <c r="H1764" s="5" t="s">
        <v>20</v>
      </c>
      <c r="I1764" s="5" t="s">
        <v>4459</v>
      </c>
      <c r="J1764" s="12" t="str">
        <f>HYPERLINK("https://www.boe.es/gazeta/dias/1807/09/15/pdfs/GMD-1807-82.pdf#page=8","Abrir facsímil")</f>
        <v>Abrir facsímil</v>
      </c>
      <c r="K1764" s="15" t="s">
        <v>22</v>
      </c>
    </row>
    <row r="1765" spans="1:11" ht="42" customHeight="1">
      <c r="A1765" s="4" t="s">
        <v>4460</v>
      </c>
      <c r="B1765" s="5" t="s">
        <v>4461</v>
      </c>
      <c r="C1765" s="5" t="s">
        <v>34</v>
      </c>
      <c r="D1765" s="5" t="s">
        <v>35</v>
      </c>
      <c r="E1765" s="5" t="s">
        <v>46</v>
      </c>
      <c r="F1765" s="9">
        <v>78</v>
      </c>
      <c r="G1765" s="9">
        <v>905</v>
      </c>
      <c r="H1765" s="5" t="s">
        <v>20</v>
      </c>
      <c r="I1765" s="5" t="s">
        <v>4462</v>
      </c>
      <c r="J1765" s="12" t="str">
        <f>HYPERLINK("https://www.boe.es/gazeta/dias/1807/09/01/pdfs/GMD-1807-78.pdf#page=9","Abrir facsímil")</f>
        <v>Abrir facsímil</v>
      </c>
      <c r="K1765" s="15" t="s">
        <v>22</v>
      </c>
    </row>
    <row r="1766" spans="1:11" ht="42" customHeight="1">
      <c r="A1766" s="4" t="s">
        <v>4463</v>
      </c>
      <c r="B1766" s="5" t="s">
        <v>4464</v>
      </c>
      <c r="C1766" s="5" t="s">
        <v>89</v>
      </c>
      <c r="D1766" s="5" t="s">
        <v>90</v>
      </c>
      <c r="E1766" s="5" t="s">
        <v>1354</v>
      </c>
      <c r="F1766" s="9">
        <v>83</v>
      </c>
      <c r="G1766" s="9">
        <v>972</v>
      </c>
      <c r="H1766" s="5" t="s">
        <v>20</v>
      </c>
      <c r="I1766" s="5" t="s">
        <v>4465</v>
      </c>
      <c r="J1766" s="12" t="str">
        <f>HYPERLINK("https://www.boe.es/gazeta/dias/1807/09/18/pdfs/GMD-1807-83.pdf#page=12","Abrir facsímil")</f>
        <v>Abrir facsímil</v>
      </c>
      <c r="K1766" s="15" t="s">
        <v>22</v>
      </c>
    </row>
    <row r="1767" spans="1:11" ht="42" customHeight="1">
      <c r="A1767" s="4" t="s">
        <v>4466</v>
      </c>
      <c r="B1767" s="5" t="s">
        <v>4467</v>
      </c>
      <c r="C1767" s="5" t="s">
        <v>34</v>
      </c>
      <c r="D1767" s="5" t="s">
        <v>35</v>
      </c>
      <c r="E1767" s="5" t="s">
        <v>30</v>
      </c>
      <c r="F1767" s="9">
        <v>13</v>
      </c>
      <c r="G1767" s="9">
        <v>151</v>
      </c>
      <c r="H1767" s="5" t="s">
        <v>20</v>
      </c>
      <c r="I1767" s="5" t="s">
        <v>4468</v>
      </c>
      <c r="J1767" s="12" t="str">
        <f>HYPERLINK("https://www.boe.es/gazeta/dias/1807/02/06/pdfs/GMD-1807-13.pdf#page=11","Abrir facsímil")</f>
        <v>Abrir facsímil</v>
      </c>
      <c r="K1767" s="15" t="s">
        <v>22</v>
      </c>
    </row>
    <row r="1768" spans="1:11" ht="42" customHeight="1">
      <c r="A1768" s="4" t="s">
        <v>4466</v>
      </c>
      <c r="B1768" s="5" t="s">
        <v>4467</v>
      </c>
      <c r="C1768" s="5" t="s">
        <v>34</v>
      </c>
      <c r="D1768" s="5" t="s">
        <v>35</v>
      </c>
      <c r="E1768" s="5" t="s">
        <v>131</v>
      </c>
      <c r="F1768" s="9">
        <v>28</v>
      </c>
      <c r="G1768" s="9">
        <v>335</v>
      </c>
      <c r="H1768" s="5" t="s">
        <v>20</v>
      </c>
      <c r="I1768" s="5" t="s">
        <v>4469</v>
      </c>
      <c r="J1768" s="12" t="str">
        <f>HYPERLINK("https://www.boe.es/gazeta/dias/1807/03/27/pdfs/GMD-1807-28.pdf#page=7","Abrir facsímil")</f>
        <v>Abrir facsímil</v>
      </c>
      <c r="K1768" s="15" t="s">
        <v>22</v>
      </c>
    </row>
    <row r="1769" spans="1:11" ht="42" customHeight="1">
      <c r="A1769" s="4" t="s">
        <v>4470</v>
      </c>
      <c r="B1769" s="5" t="s">
        <v>4471</v>
      </c>
      <c r="C1769" s="5" t="s">
        <v>34</v>
      </c>
      <c r="D1769" s="5" t="s">
        <v>35</v>
      </c>
      <c r="E1769" s="5" t="s">
        <v>152</v>
      </c>
      <c r="F1769" s="9">
        <v>61</v>
      </c>
      <c r="G1769" s="9">
        <v>720</v>
      </c>
      <c r="H1769" s="5" t="s">
        <v>20</v>
      </c>
      <c r="I1769" s="5" t="s">
        <v>4472</v>
      </c>
      <c r="J1769" s="12" t="str">
        <f>HYPERLINK("https://www.boe.es/gazeta/dias/1807/07/14/pdfs/GMD-1807-61.pdf#page=6","Abrir facsímil")</f>
        <v>Abrir facsímil</v>
      </c>
      <c r="K1769" s="15" t="s">
        <v>22</v>
      </c>
    </row>
    <row r="1770" spans="1:11" ht="42" customHeight="1">
      <c r="A1770" s="4" t="s">
        <v>4473</v>
      </c>
      <c r="B1770" s="5" t="s">
        <v>4474</v>
      </c>
      <c r="C1770" s="5" t="s">
        <v>34</v>
      </c>
      <c r="D1770" s="5" t="s">
        <v>35</v>
      </c>
      <c r="E1770" s="5" t="s">
        <v>471</v>
      </c>
      <c r="F1770" s="9">
        <v>51</v>
      </c>
      <c r="G1770" s="9">
        <v>605</v>
      </c>
      <c r="H1770" s="5" t="s">
        <v>20</v>
      </c>
      <c r="I1770" s="5" t="s">
        <v>4475</v>
      </c>
      <c r="J1770" s="12" t="str">
        <f>HYPERLINK("https://www.boe.es/gazeta/dias/1807/06/16/pdfs/GMD-1807-51.pdf#page=7","Abrir facsímil")</f>
        <v>Abrir facsímil</v>
      </c>
      <c r="K1770" s="15" t="s">
        <v>22</v>
      </c>
    </row>
    <row r="1771" spans="1:11" ht="42" customHeight="1">
      <c r="A1771" s="4" t="s">
        <v>4476</v>
      </c>
      <c r="B1771" s="5" t="s">
        <v>4477</v>
      </c>
      <c r="C1771" s="5" t="s">
        <v>17</v>
      </c>
      <c r="D1771" s="5" t="s">
        <v>18</v>
      </c>
      <c r="E1771" s="5" t="s">
        <v>507</v>
      </c>
      <c r="F1771" s="9">
        <v>48</v>
      </c>
      <c r="G1771" s="9">
        <v>570</v>
      </c>
      <c r="H1771" s="5" t="s">
        <v>20</v>
      </c>
      <c r="I1771" s="5" t="s">
        <v>4478</v>
      </c>
      <c r="J1771" s="12" t="str">
        <f>HYPERLINK("https://www.boe.es/gazeta/dias/1807/06/05/pdfs/GMD-1807-48.pdf#page=8","Abrir facsímil")</f>
        <v>Abrir facsímil</v>
      </c>
      <c r="K1771" s="15" t="s">
        <v>22</v>
      </c>
    </row>
    <row r="1772" spans="1:11" ht="42" customHeight="1">
      <c r="A1772" s="4" t="s">
        <v>4479</v>
      </c>
      <c r="B1772" s="5" t="s">
        <v>4480</v>
      </c>
      <c r="C1772" s="5" t="s">
        <v>17</v>
      </c>
      <c r="D1772" s="5" t="s">
        <v>18</v>
      </c>
      <c r="E1772" s="5" t="s">
        <v>245</v>
      </c>
      <c r="F1772" s="9">
        <v>97</v>
      </c>
      <c r="G1772" s="9">
        <v>1131</v>
      </c>
      <c r="H1772" s="5" t="s">
        <v>20</v>
      </c>
      <c r="I1772" s="5" t="s">
        <v>4481</v>
      </c>
      <c r="J1772" s="12" t="str">
        <f>HYPERLINK("https://www.boe.es/gazeta/dias/1807/10/30/pdfs/GMD-1807-97.pdf#page=11","Abrir facsímil")</f>
        <v>Abrir facsímil</v>
      </c>
      <c r="K1772" s="15" t="s">
        <v>22</v>
      </c>
    </row>
    <row r="1773" spans="1:11" ht="42" customHeight="1">
      <c r="A1773" s="4" t="s">
        <v>4482</v>
      </c>
      <c r="B1773" s="5" t="s">
        <v>4483</v>
      </c>
      <c r="C1773" s="5" t="s">
        <v>89</v>
      </c>
      <c r="D1773" s="5" t="s">
        <v>90</v>
      </c>
      <c r="E1773" s="5" t="s">
        <v>282</v>
      </c>
      <c r="F1773" s="9">
        <v>16</v>
      </c>
      <c r="G1773" s="9">
        <v>188</v>
      </c>
      <c r="H1773" s="5" t="s">
        <v>20</v>
      </c>
      <c r="I1773" s="5" t="s">
        <v>4484</v>
      </c>
      <c r="J1773" s="12" t="str">
        <f>HYPERLINK("https://www.boe.es/gazeta/dias/1807/02/17/pdfs/GMD-1807-16.pdf#page=12","Abrir facsímil")</f>
        <v>Abrir facsímil</v>
      </c>
      <c r="K1773" s="15" t="s">
        <v>22</v>
      </c>
    </row>
    <row r="1774" spans="1:11" ht="42" customHeight="1">
      <c r="A1774" s="4" t="s">
        <v>4485</v>
      </c>
      <c r="B1774" s="5" t="s">
        <v>4486</v>
      </c>
      <c r="C1774" s="5" t="s">
        <v>89</v>
      </c>
      <c r="D1774" s="5" t="s">
        <v>90</v>
      </c>
      <c r="E1774" s="5" t="s">
        <v>111</v>
      </c>
      <c r="F1774" s="9">
        <v>90</v>
      </c>
      <c r="G1774" s="9">
        <v>1047</v>
      </c>
      <c r="H1774" s="5" t="s">
        <v>20</v>
      </c>
      <c r="I1774" s="5" t="s">
        <v>4487</v>
      </c>
      <c r="J1774" s="12" t="str">
        <f>HYPERLINK("https://www.boe.es/gazeta/dias/1807/10/06/pdfs/GMD-1807-90.pdf#page=15","Abrir facsímil")</f>
        <v>Abrir facsímil</v>
      </c>
      <c r="K1774" s="15" t="s">
        <v>22</v>
      </c>
    </row>
    <row r="1775" spans="1:11" ht="42" customHeight="1">
      <c r="A1775" s="4" t="s">
        <v>4488</v>
      </c>
      <c r="B1775" s="5" t="s">
        <v>4489</v>
      </c>
      <c r="C1775" s="5" t="s">
        <v>17</v>
      </c>
      <c r="D1775" s="5" t="s">
        <v>18</v>
      </c>
      <c r="E1775" s="5" t="s">
        <v>190</v>
      </c>
      <c r="F1775" s="9">
        <v>37</v>
      </c>
      <c r="G1775" s="9">
        <v>440</v>
      </c>
      <c r="H1775" s="5" t="s">
        <v>20</v>
      </c>
      <c r="I1775" s="5" t="s">
        <v>4490</v>
      </c>
      <c r="J1775" s="12" t="str">
        <f>HYPERLINK("https://www.boe.es/gazeta/dias/1807/04/28/pdfs/GMD-1807-37.pdf#page=8","Abrir facsímil")</f>
        <v>Abrir facsímil</v>
      </c>
      <c r="K1775" s="15" t="s">
        <v>22</v>
      </c>
    </row>
    <row r="1776" spans="1:11" ht="42" customHeight="1">
      <c r="A1776" s="4" t="s">
        <v>4488</v>
      </c>
      <c r="B1776" s="5" t="s">
        <v>4489</v>
      </c>
      <c r="C1776" s="5" t="s">
        <v>34</v>
      </c>
      <c r="D1776" s="5" t="s">
        <v>35</v>
      </c>
      <c r="E1776" s="5" t="s">
        <v>106</v>
      </c>
      <c r="F1776" s="9">
        <v>39</v>
      </c>
      <c r="G1776" s="9">
        <v>466</v>
      </c>
      <c r="H1776" s="5" t="s">
        <v>20</v>
      </c>
      <c r="I1776" s="5" t="s">
        <v>4491</v>
      </c>
      <c r="J1776" s="12" t="str">
        <f>HYPERLINK("https://www.boe.es/gazeta/dias/1807/05/05/pdfs/GMD-1807-39.pdf#page=8","Abrir facsímil")</f>
        <v>Abrir facsímil</v>
      </c>
      <c r="K1776" s="15" t="s">
        <v>22</v>
      </c>
    </row>
    <row r="1777" spans="1:11" ht="42" customHeight="1">
      <c r="A1777" s="4" t="s">
        <v>4492</v>
      </c>
      <c r="B1777" s="5" t="s">
        <v>4493</v>
      </c>
      <c r="C1777" s="5" t="s">
        <v>28</v>
      </c>
      <c r="D1777" s="5" t="s">
        <v>29</v>
      </c>
      <c r="E1777" s="5" t="s">
        <v>53</v>
      </c>
      <c r="F1777" s="9">
        <v>64</v>
      </c>
      <c r="G1777" s="9">
        <v>748</v>
      </c>
      <c r="H1777" s="5" t="s">
        <v>20</v>
      </c>
      <c r="I1777" s="5" t="s">
        <v>4494</v>
      </c>
      <c r="J1777" s="12" t="str">
        <f>HYPERLINK("https://www.boe.es/gazeta/dias/1807/07/21/pdfs/GMD-1807-64.pdf#page=10","Abrir facsímil")</f>
        <v>Abrir facsímil</v>
      </c>
      <c r="K1777" s="15" t="s">
        <v>22</v>
      </c>
    </row>
    <row r="1778" spans="1:11" ht="42" customHeight="1">
      <c r="A1778" s="4" t="s">
        <v>4495</v>
      </c>
      <c r="B1778" s="5" t="s">
        <v>4496</v>
      </c>
      <c r="C1778" s="5" t="s">
        <v>34</v>
      </c>
      <c r="D1778" s="5" t="s">
        <v>35</v>
      </c>
      <c r="E1778" s="5" t="s">
        <v>91</v>
      </c>
      <c r="F1778" s="9">
        <v>109</v>
      </c>
      <c r="G1778" s="9">
        <v>1272</v>
      </c>
      <c r="H1778" s="5" t="s">
        <v>20</v>
      </c>
      <c r="I1778" s="5" t="s">
        <v>4497</v>
      </c>
      <c r="J1778" s="12" t="str">
        <f>HYPERLINK("https://www.boe.es/gazeta/dias/1807/12/08/pdfs/GMD-1807-109.pdf#page=8","Abrir facsímil")</f>
        <v>Abrir facsímil</v>
      </c>
      <c r="K1778" s="15" t="s">
        <v>22</v>
      </c>
    </row>
    <row r="1779" spans="1:11" ht="42" customHeight="1">
      <c r="A1779" s="4" t="s">
        <v>4498</v>
      </c>
      <c r="B1779" s="5" t="s">
        <v>4499</v>
      </c>
      <c r="C1779" s="5" t="s">
        <v>89</v>
      </c>
      <c r="D1779" s="5" t="s">
        <v>90</v>
      </c>
      <c r="E1779" s="5" t="s">
        <v>2914</v>
      </c>
      <c r="F1779" s="9">
        <v>29</v>
      </c>
      <c r="G1779" s="9">
        <v>348</v>
      </c>
      <c r="H1779" s="5" t="s">
        <v>20</v>
      </c>
      <c r="I1779" s="5" t="s">
        <v>4500</v>
      </c>
      <c r="J1779" s="12" t="str">
        <f>HYPERLINK("https://www.boe.es/gazeta/dias/1807/03/31/pdfs/GMD-1807-29.pdf#page=12","Abrir facsímil")</f>
        <v>Abrir facsímil</v>
      </c>
      <c r="K1779" s="15" t="s">
        <v>22</v>
      </c>
    </row>
    <row r="1780" spans="1:11" ht="42" customHeight="1">
      <c r="A1780" s="4" t="s">
        <v>4501</v>
      </c>
      <c r="B1780" s="5" t="s">
        <v>4502</v>
      </c>
      <c r="C1780" s="5" t="s">
        <v>34</v>
      </c>
      <c r="D1780" s="5" t="s">
        <v>35</v>
      </c>
      <c r="E1780" s="5" t="s">
        <v>464</v>
      </c>
      <c r="F1780" s="9">
        <v>18</v>
      </c>
      <c r="G1780" s="9">
        <v>215</v>
      </c>
      <c r="H1780" s="5" t="s">
        <v>20</v>
      </c>
      <c r="I1780" s="5" t="s">
        <v>4503</v>
      </c>
      <c r="J1780" s="12" t="str">
        <f>HYPERLINK("https://www.boe.es/gazeta/dias/1807/02/24/pdfs/GMD-1807-18.pdf#page=15","Abrir facsímil")</f>
        <v>Abrir facsímil</v>
      </c>
      <c r="K1780" s="15" t="s">
        <v>22</v>
      </c>
    </row>
    <row r="1781" spans="1:11" ht="42" customHeight="1">
      <c r="A1781" s="4" t="s">
        <v>4504</v>
      </c>
      <c r="B1781" s="5" t="s">
        <v>4505</v>
      </c>
      <c r="C1781" s="5" t="s">
        <v>34</v>
      </c>
      <c r="D1781" s="5" t="s">
        <v>35</v>
      </c>
      <c r="E1781" s="5" t="s">
        <v>25</v>
      </c>
      <c r="F1781" s="9">
        <v>45</v>
      </c>
      <c r="G1781" s="9">
        <v>537</v>
      </c>
      <c r="H1781" s="5" t="s">
        <v>20</v>
      </c>
      <c r="I1781" s="5" t="s">
        <v>4506</v>
      </c>
      <c r="J1781" s="12" t="str">
        <f>HYPERLINK("https://www.boe.es/gazeta/dias/1807/05/26/pdfs/GMD-1807-45.pdf#page=7","Abrir facsímil")</f>
        <v>Abrir facsímil</v>
      </c>
      <c r="K1781" s="15" t="s">
        <v>22</v>
      </c>
    </row>
    <row r="1782" spans="1:11" ht="42" customHeight="1">
      <c r="A1782" s="4" t="s">
        <v>4507</v>
      </c>
      <c r="B1782" s="5" t="s">
        <v>4508</v>
      </c>
      <c r="C1782" s="5" t="s">
        <v>28</v>
      </c>
      <c r="D1782" s="5" t="s">
        <v>29</v>
      </c>
      <c r="E1782" s="5" t="s">
        <v>46</v>
      </c>
      <c r="F1782" s="9">
        <v>78</v>
      </c>
      <c r="G1782" s="9">
        <v>905</v>
      </c>
      <c r="H1782" s="5" t="s">
        <v>20</v>
      </c>
      <c r="I1782" s="5" t="s">
        <v>4509</v>
      </c>
      <c r="J1782" s="12" t="str">
        <f>HYPERLINK("https://www.boe.es/gazeta/dias/1807/09/01/pdfs/GMD-1807-78.pdf#page=9","Abrir facsímil")</f>
        <v>Abrir facsímil</v>
      </c>
      <c r="K1782" s="15" t="s">
        <v>22</v>
      </c>
    </row>
    <row r="1783" spans="1:11" ht="42" customHeight="1">
      <c r="A1783" s="4" t="s">
        <v>4510</v>
      </c>
      <c r="B1783" s="5" t="s">
        <v>4511</v>
      </c>
      <c r="C1783" s="5" t="s">
        <v>28</v>
      </c>
      <c r="D1783" s="5" t="s">
        <v>29</v>
      </c>
      <c r="E1783" s="5" t="s">
        <v>104</v>
      </c>
      <c r="F1783" s="9">
        <v>25</v>
      </c>
      <c r="G1783" s="9">
        <v>302</v>
      </c>
      <c r="H1783" s="5" t="s">
        <v>20</v>
      </c>
      <c r="I1783" s="5" t="s">
        <v>4512</v>
      </c>
      <c r="J1783" s="12" t="str">
        <f>HYPERLINK("https://www.boe.es/gazeta/dias/1807/03/17/pdfs/GMD-1807-25.pdf#page=10","Abrir facsímil")</f>
        <v>Abrir facsímil</v>
      </c>
      <c r="K1783" s="15" t="s">
        <v>22</v>
      </c>
    </row>
    <row r="1784" spans="1:11" ht="42" customHeight="1">
      <c r="A1784" s="4" t="s">
        <v>4510</v>
      </c>
      <c r="B1784" s="5" t="s">
        <v>4511</v>
      </c>
      <c r="C1784" s="5" t="s">
        <v>28</v>
      </c>
      <c r="D1784" s="5" t="s">
        <v>29</v>
      </c>
      <c r="E1784" s="5" t="s">
        <v>754</v>
      </c>
      <c r="F1784" s="9">
        <v>103</v>
      </c>
      <c r="G1784" s="9">
        <v>1203</v>
      </c>
      <c r="H1784" s="5" t="s">
        <v>20</v>
      </c>
      <c r="I1784" s="5" t="s">
        <v>4513</v>
      </c>
      <c r="J1784" s="12" t="str">
        <f>HYPERLINK("https://www.boe.es/gazeta/dias/1807/11/20/pdfs/GMD-1807-103.pdf#page=11","Abrir facsímil")</f>
        <v>Abrir facsímil</v>
      </c>
      <c r="K1784" s="15" t="s">
        <v>22</v>
      </c>
    </row>
    <row r="1785" spans="1:11" ht="42" customHeight="1">
      <c r="A1785" s="4" t="s">
        <v>4514</v>
      </c>
      <c r="B1785" s="5" t="s">
        <v>4515</v>
      </c>
      <c r="C1785" s="5" t="s">
        <v>24</v>
      </c>
      <c r="D1785" s="5" t="s">
        <v>18</v>
      </c>
      <c r="E1785" s="5" t="s">
        <v>3230</v>
      </c>
      <c r="F1785" s="9">
        <v>27</v>
      </c>
      <c r="G1785" s="9">
        <v>328</v>
      </c>
      <c r="H1785" s="5" t="s">
        <v>20</v>
      </c>
      <c r="I1785" s="5" t="s">
        <v>4516</v>
      </c>
      <c r="J1785" s="12" t="str">
        <f>HYPERLINK("https://www.boe.es/gazeta/dias/1807/03/24/pdfs/GMD-1807-27.pdf#page=12","Abrir facsímil")</f>
        <v>Abrir facsímil</v>
      </c>
      <c r="K1785" s="15" t="s">
        <v>22</v>
      </c>
    </row>
    <row r="1786" spans="1:11" ht="42" customHeight="1">
      <c r="A1786" s="4" t="s">
        <v>4517</v>
      </c>
      <c r="B1786" s="5" t="s">
        <v>4518</v>
      </c>
      <c r="C1786" s="5" t="s">
        <v>24</v>
      </c>
      <c r="D1786" s="5" t="s">
        <v>18</v>
      </c>
      <c r="E1786" s="5" t="s">
        <v>595</v>
      </c>
      <c r="F1786" s="9">
        <v>59</v>
      </c>
      <c r="G1786" s="9">
        <v>705</v>
      </c>
      <c r="H1786" s="5" t="s">
        <v>20</v>
      </c>
      <c r="I1786" s="5" t="s">
        <v>4519</v>
      </c>
      <c r="J1786" s="12" t="str">
        <f>HYPERLINK("https://www.boe.es/gazeta/dias/1807/07/10/pdfs/GMD-1807-59.pdf#page=11","Abrir facsímil")</f>
        <v>Abrir facsímil</v>
      </c>
      <c r="K1786" s="15" t="s">
        <v>22</v>
      </c>
    </row>
    <row r="1787" spans="1:11" ht="42" customHeight="1">
      <c r="A1787" s="4" t="s">
        <v>4517</v>
      </c>
      <c r="B1787" s="5" t="s">
        <v>4518</v>
      </c>
      <c r="C1787" s="5" t="s">
        <v>24</v>
      </c>
      <c r="D1787" s="5" t="s">
        <v>18</v>
      </c>
      <c r="E1787" s="5" t="s">
        <v>46</v>
      </c>
      <c r="F1787" s="9">
        <v>78</v>
      </c>
      <c r="G1787" s="9">
        <v>906</v>
      </c>
      <c r="H1787" s="5" t="s">
        <v>20</v>
      </c>
      <c r="I1787" s="5" t="s">
        <v>4520</v>
      </c>
      <c r="J1787" s="12" t="str">
        <f>HYPERLINK("https://www.boe.es/gazeta/dias/1807/09/01/pdfs/GMD-1807-78.pdf#page=10","Abrir facsímil")</f>
        <v>Abrir facsímil</v>
      </c>
      <c r="K1787" s="15" t="s">
        <v>22</v>
      </c>
    </row>
    <row r="1788" spans="1:11" ht="42" customHeight="1">
      <c r="A1788" s="4" t="s">
        <v>4521</v>
      </c>
      <c r="B1788" s="5" t="s">
        <v>4522</v>
      </c>
      <c r="C1788" s="5" t="s">
        <v>17</v>
      </c>
      <c r="D1788" s="5" t="s">
        <v>18</v>
      </c>
      <c r="E1788" s="5" t="s">
        <v>666</v>
      </c>
      <c r="F1788" s="9">
        <v>43</v>
      </c>
      <c r="G1788" s="9">
        <v>515</v>
      </c>
      <c r="H1788" s="5" t="s">
        <v>20</v>
      </c>
      <c r="I1788" s="5" t="s">
        <v>4523</v>
      </c>
      <c r="J1788" s="12" t="str">
        <f>HYPERLINK("https://www.boe.es/gazeta/dias/1807/05/19/pdfs/GMD-1807-43.pdf#page=9","Abrir facsímil")</f>
        <v>Abrir facsímil</v>
      </c>
      <c r="K1788" s="15" t="s">
        <v>22</v>
      </c>
    </row>
    <row r="1789" spans="1:11" ht="42" customHeight="1">
      <c r="A1789" s="4" t="s">
        <v>4524</v>
      </c>
      <c r="B1789" s="5" t="s">
        <v>4525</v>
      </c>
      <c r="C1789" s="5" t="s">
        <v>89</v>
      </c>
      <c r="D1789" s="5" t="s">
        <v>90</v>
      </c>
      <c r="E1789" s="5" t="s">
        <v>120</v>
      </c>
      <c r="F1789" s="9">
        <v>10</v>
      </c>
      <c r="G1789" s="9">
        <v>115</v>
      </c>
      <c r="H1789" s="5" t="s">
        <v>20</v>
      </c>
      <c r="I1789" s="5" t="s">
        <v>4526</v>
      </c>
      <c r="J1789" s="12" t="str">
        <f>HYPERLINK("https://www.boe.es/gazeta/dias/1807/01/27/pdfs/GMD-1807-10.pdf#page=11","Abrir facsímil")</f>
        <v>Abrir facsímil</v>
      </c>
      <c r="K1789" s="15" t="s">
        <v>22</v>
      </c>
    </row>
    <row r="1790" spans="1:11" ht="42" customHeight="1">
      <c r="A1790" s="4" t="s">
        <v>4527</v>
      </c>
      <c r="B1790" s="5" t="s">
        <v>4528</v>
      </c>
      <c r="C1790" s="5" t="s">
        <v>34</v>
      </c>
      <c r="D1790" s="5" t="s">
        <v>35</v>
      </c>
      <c r="E1790" s="5" t="s">
        <v>123</v>
      </c>
      <c r="F1790" s="9">
        <v>70</v>
      </c>
      <c r="G1790" s="9">
        <v>806</v>
      </c>
      <c r="H1790" s="5" t="s">
        <v>20</v>
      </c>
      <c r="I1790" s="5" t="s">
        <v>4529</v>
      </c>
      <c r="J1790" s="12" t="str">
        <f>HYPERLINK("https://www.boe.es/gazeta/dias/1807/08/04/pdfs/GMD-1807-70.pdf#page=10","Abrir facsímil")</f>
        <v>Abrir facsímil</v>
      </c>
      <c r="K1790" s="15" t="s">
        <v>22</v>
      </c>
    </row>
    <row r="1791" spans="1:11" ht="42" customHeight="1">
      <c r="A1791" s="4" t="s">
        <v>4530</v>
      </c>
      <c r="B1791" s="5" t="s">
        <v>4531</v>
      </c>
      <c r="C1791" s="5" t="s">
        <v>34</v>
      </c>
      <c r="D1791" s="5" t="s">
        <v>35</v>
      </c>
      <c r="E1791" s="5" t="s">
        <v>98</v>
      </c>
      <c r="F1791" s="9">
        <v>34</v>
      </c>
      <c r="G1791" s="9">
        <v>406</v>
      </c>
      <c r="H1791" s="5" t="s">
        <v>20</v>
      </c>
      <c r="I1791" s="5" t="s">
        <v>4532</v>
      </c>
      <c r="J1791" s="12" t="str">
        <f>HYPERLINK("https://www.boe.es/gazeta/dias/1807/04/17/pdfs/GMD-1807-34.pdf#page=10","Abrir facsímil")</f>
        <v>Abrir facsímil</v>
      </c>
      <c r="K1791" s="15" t="s">
        <v>22</v>
      </c>
    </row>
    <row r="1792" spans="1:11" ht="42" customHeight="1">
      <c r="A1792" s="4" t="s">
        <v>4533</v>
      </c>
      <c r="B1792" s="5" t="s">
        <v>4534</v>
      </c>
      <c r="C1792" s="5" t="s">
        <v>28</v>
      </c>
      <c r="D1792" s="5" t="s">
        <v>29</v>
      </c>
      <c r="E1792" s="5" t="s">
        <v>666</v>
      </c>
      <c r="F1792" s="9">
        <v>43</v>
      </c>
      <c r="G1792" s="9">
        <v>516</v>
      </c>
      <c r="H1792" s="5" t="s">
        <v>20</v>
      </c>
      <c r="I1792" s="5" t="s">
        <v>4535</v>
      </c>
      <c r="J1792" s="12" t="str">
        <f>HYPERLINK("https://www.boe.es/gazeta/dias/1807/05/19/pdfs/GMD-1807-43.pdf#page=10","Abrir facsímil")</f>
        <v>Abrir facsímil</v>
      </c>
      <c r="K1792" s="15" t="s">
        <v>22</v>
      </c>
    </row>
    <row r="1793" spans="1:11" ht="42" customHeight="1">
      <c r="A1793" s="4" t="s">
        <v>4536</v>
      </c>
      <c r="B1793" s="5" t="s">
        <v>4537</v>
      </c>
      <c r="C1793" s="5" t="s">
        <v>89</v>
      </c>
      <c r="D1793" s="5" t="s">
        <v>90</v>
      </c>
      <c r="E1793" s="5" t="s">
        <v>120</v>
      </c>
      <c r="F1793" s="9">
        <v>10</v>
      </c>
      <c r="G1793" s="9">
        <v>114</v>
      </c>
      <c r="H1793" s="5" t="s">
        <v>20</v>
      </c>
      <c r="I1793" s="5" t="s">
        <v>4538</v>
      </c>
      <c r="J1793" s="12" t="str">
        <f>HYPERLINK("https://www.boe.es/gazeta/dias/1807/01/27/pdfs/GMD-1807-10.pdf#page=10","Abrir facsímil")</f>
        <v>Abrir facsímil</v>
      </c>
      <c r="K1793" s="15" t="s">
        <v>22</v>
      </c>
    </row>
    <row r="1794" spans="1:11" ht="42" customHeight="1">
      <c r="A1794" s="4" t="s">
        <v>4539</v>
      </c>
      <c r="B1794" s="5" t="s">
        <v>4540</v>
      </c>
      <c r="C1794" s="5" t="s">
        <v>34</v>
      </c>
      <c r="D1794" s="5" t="s">
        <v>35</v>
      </c>
      <c r="E1794" s="5" t="s">
        <v>19</v>
      </c>
      <c r="F1794" s="9">
        <v>41</v>
      </c>
      <c r="G1794" s="9">
        <v>492</v>
      </c>
      <c r="H1794" s="5" t="s">
        <v>20</v>
      </c>
      <c r="I1794" s="5" t="s">
        <v>4541</v>
      </c>
      <c r="J1794" s="12" t="str">
        <f>HYPERLINK("https://www.boe.es/gazeta/dias/1807/05/12/pdfs/GMD-1807-41.pdf#page=10","Abrir facsímil")</f>
        <v>Abrir facsímil</v>
      </c>
      <c r="K1794" s="15" t="s">
        <v>22</v>
      </c>
    </row>
    <row r="1795" spans="1:11" ht="42" customHeight="1">
      <c r="A1795" s="4" t="s">
        <v>4542</v>
      </c>
      <c r="B1795" s="5" t="s">
        <v>4543</v>
      </c>
      <c r="C1795" s="5" t="s">
        <v>34</v>
      </c>
      <c r="D1795" s="5" t="s">
        <v>35</v>
      </c>
      <c r="E1795" s="5" t="s">
        <v>478</v>
      </c>
      <c r="F1795" s="9">
        <v>30</v>
      </c>
      <c r="G1795" s="9">
        <v>359</v>
      </c>
      <c r="H1795" s="5" t="s">
        <v>20</v>
      </c>
      <c r="I1795" s="5" t="s">
        <v>4544</v>
      </c>
      <c r="J1795" s="12" t="str">
        <f>HYPERLINK("https://www.boe.es/gazeta/dias/1807/04/03/pdfs/GMD-1807-30.pdf#page=11","Abrir facsímil")</f>
        <v>Abrir facsímil</v>
      </c>
      <c r="K1795" s="15" t="s">
        <v>22</v>
      </c>
    </row>
    <row r="1796" spans="1:11" ht="42" customHeight="1">
      <c r="A1796" s="4" t="s">
        <v>4542</v>
      </c>
      <c r="B1796" s="5" t="s">
        <v>4543</v>
      </c>
      <c r="C1796" s="5" t="s">
        <v>34</v>
      </c>
      <c r="D1796" s="5" t="s">
        <v>35</v>
      </c>
      <c r="E1796" s="5" t="s">
        <v>530</v>
      </c>
      <c r="F1796" s="9">
        <v>79</v>
      </c>
      <c r="G1796" s="9">
        <v>924</v>
      </c>
      <c r="H1796" s="5" t="s">
        <v>20</v>
      </c>
      <c r="I1796" s="5" t="s">
        <v>4545</v>
      </c>
      <c r="J1796" s="12" t="str">
        <f>HYPERLINK("https://www.boe.es/gazeta/dias/1807/09/04/pdfs/GMD-1807-79.pdf#page=16","Abrir facsímil")</f>
        <v>Abrir facsímil</v>
      </c>
      <c r="K1796" s="15" t="s">
        <v>22</v>
      </c>
    </row>
    <row r="1797" spans="1:11" ht="42" customHeight="1">
      <c r="A1797" s="4" t="s">
        <v>4542</v>
      </c>
      <c r="B1797" s="5" t="s">
        <v>4543</v>
      </c>
      <c r="C1797" s="5" t="s">
        <v>34</v>
      </c>
      <c r="D1797" s="5" t="s">
        <v>35</v>
      </c>
      <c r="E1797" s="5" t="s">
        <v>139</v>
      </c>
      <c r="F1797" s="9">
        <v>110</v>
      </c>
      <c r="G1797" s="9">
        <v>1285</v>
      </c>
      <c r="H1797" s="5" t="s">
        <v>20</v>
      </c>
      <c r="I1797" s="5" t="s">
        <v>4546</v>
      </c>
      <c r="J1797" s="12" t="str">
        <f>HYPERLINK("https://www.boe.es/gazeta/dias/1807/12/11/pdfs/GMD-1807-110.pdf#page=9","Abrir facsímil")</f>
        <v>Abrir facsímil</v>
      </c>
      <c r="K1797" s="15" t="s">
        <v>22</v>
      </c>
    </row>
    <row r="1798" spans="1:11" ht="42" customHeight="1">
      <c r="A1798" s="4" t="s">
        <v>4547</v>
      </c>
      <c r="B1798" s="5" t="s">
        <v>4548</v>
      </c>
      <c r="C1798" s="5" t="s">
        <v>34</v>
      </c>
      <c r="D1798" s="5" t="s">
        <v>35</v>
      </c>
      <c r="E1798" s="5" t="s">
        <v>91</v>
      </c>
      <c r="F1798" s="9">
        <v>109</v>
      </c>
      <c r="G1798" s="9">
        <v>1272</v>
      </c>
      <c r="H1798" s="5" t="s">
        <v>20</v>
      </c>
      <c r="I1798" s="5" t="s">
        <v>4549</v>
      </c>
      <c r="J1798" s="12" t="str">
        <f>HYPERLINK("https://www.boe.es/gazeta/dias/1807/12/08/pdfs/GMD-1807-109.pdf#page=8","Abrir facsímil")</f>
        <v>Abrir facsímil</v>
      </c>
      <c r="K1798" s="15" t="s">
        <v>22</v>
      </c>
    </row>
    <row r="1799" spans="1:11" ht="42" customHeight="1">
      <c r="A1799" s="4" t="s">
        <v>4550</v>
      </c>
      <c r="B1799" s="5" t="s">
        <v>4551</v>
      </c>
      <c r="C1799" s="5" t="s">
        <v>34</v>
      </c>
      <c r="D1799" s="5" t="s">
        <v>35</v>
      </c>
      <c r="E1799" s="5" t="s">
        <v>595</v>
      </c>
      <c r="F1799" s="9">
        <v>59</v>
      </c>
      <c r="G1799" s="9">
        <v>703</v>
      </c>
      <c r="H1799" s="5" t="s">
        <v>20</v>
      </c>
      <c r="I1799" s="5" t="s">
        <v>4552</v>
      </c>
      <c r="J1799" s="12" t="str">
        <f>HYPERLINK("https://www.boe.es/gazeta/dias/1807/07/10/pdfs/GMD-1807-59.pdf#page=9","Abrir facsímil")</f>
        <v>Abrir facsímil</v>
      </c>
      <c r="K1799" s="15" t="s">
        <v>22</v>
      </c>
    </row>
    <row r="1800" spans="1:11" ht="42" customHeight="1">
      <c r="A1800" s="4" t="s">
        <v>4553</v>
      </c>
      <c r="B1800" s="5" t="s">
        <v>4554</v>
      </c>
      <c r="C1800" s="5" t="s">
        <v>69</v>
      </c>
      <c r="D1800" s="5" t="s">
        <v>70</v>
      </c>
      <c r="E1800" s="5" t="s">
        <v>71</v>
      </c>
      <c r="F1800" s="9">
        <v>35</v>
      </c>
      <c r="G1800" s="9" t="s">
        <v>72</v>
      </c>
      <c r="H1800" s="5" t="s">
        <v>20</v>
      </c>
      <c r="I1800" s="5" t="s">
        <v>4555</v>
      </c>
      <c r="J1800" s="12" t="str">
        <f>HYPERLINK("https://www.boe.es/gazeta/dias/1807/04/21/pdfs/C00001-00004.pdf#page=1","Abrir facsímil")</f>
        <v>Abrir facsímil</v>
      </c>
      <c r="K1800" s="15" t="s">
        <v>22</v>
      </c>
    </row>
    <row r="1801" spans="1:11" ht="42" customHeight="1">
      <c r="A1801" s="4" t="s">
        <v>4556</v>
      </c>
      <c r="B1801" s="5" t="s">
        <v>4557</v>
      </c>
      <c r="C1801" s="5" t="s">
        <v>34</v>
      </c>
      <c r="D1801" s="5" t="s">
        <v>35</v>
      </c>
      <c r="E1801" s="5" t="s">
        <v>361</v>
      </c>
      <c r="F1801" s="9">
        <v>113</v>
      </c>
      <c r="G1801" s="9">
        <v>1322</v>
      </c>
      <c r="H1801" s="5" t="s">
        <v>20</v>
      </c>
      <c r="I1801" s="5" t="s">
        <v>4558</v>
      </c>
      <c r="J1801" s="12" t="str">
        <f>HYPERLINK("https://www.boe.es/gazeta/dias/1807/12/22/pdfs/GMD-1807-113.pdf#page=10","Abrir facsímil")</f>
        <v>Abrir facsímil</v>
      </c>
      <c r="K1801" s="15" t="s">
        <v>22</v>
      </c>
    </row>
    <row r="1802" spans="1:11" ht="42" customHeight="1">
      <c r="A1802" s="4" t="s">
        <v>4559</v>
      </c>
      <c r="B1802" s="5" t="s">
        <v>4560</v>
      </c>
      <c r="C1802" s="5" t="s">
        <v>28</v>
      </c>
      <c r="D1802" s="5" t="s">
        <v>29</v>
      </c>
      <c r="E1802" s="5" t="s">
        <v>266</v>
      </c>
      <c r="F1802" s="9">
        <v>67</v>
      </c>
      <c r="G1802" s="9">
        <v>772</v>
      </c>
      <c r="H1802" s="5" t="s">
        <v>20</v>
      </c>
      <c r="I1802" s="5" t="s">
        <v>4561</v>
      </c>
      <c r="J1802" s="12" t="str">
        <f>HYPERLINK("https://www.boe.es/gazeta/dias/1807/07/28/pdfs/GMD-1807-67.pdf#page=8","Abrir facsímil")</f>
        <v>Abrir facsímil</v>
      </c>
      <c r="K1802" s="15" t="s">
        <v>22</v>
      </c>
    </row>
    <row r="1803" spans="1:11" ht="42" customHeight="1">
      <c r="A1803" s="4" t="s">
        <v>4562</v>
      </c>
      <c r="B1803" s="5" t="s">
        <v>4563</v>
      </c>
      <c r="C1803" s="5" t="s">
        <v>17</v>
      </c>
      <c r="D1803" s="5" t="s">
        <v>18</v>
      </c>
      <c r="E1803" s="5" t="s">
        <v>219</v>
      </c>
      <c r="F1803" s="9">
        <v>56</v>
      </c>
      <c r="G1803" s="9">
        <v>672</v>
      </c>
      <c r="H1803" s="5" t="s">
        <v>20</v>
      </c>
      <c r="I1803" s="5" t="s">
        <v>4564</v>
      </c>
      <c r="J1803" s="12" t="str">
        <f>HYPERLINK("https://www.boe.es/gazeta/dias/1807/07/03/pdfs/GMD-1807-56.pdf#page=10","Abrir facsímil")</f>
        <v>Abrir facsímil</v>
      </c>
      <c r="K1803" s="15" t="s">
        <v>22</v>
      </c>
    </row>
    <row r="1804" spans="1:11" ht="42" customHeight="1">
      <c r="A1804" s="4" t="s">
        <v>4565</v>
      </c>
      <c r="B1804" s="5" t="s">
        <v>4566</v>
      </c>
      <c r="C1804" s="5" t="s">
        <v>24</v>
      </c>
      <c r="D1804" s="5" t="s">
        <v>18</v>
      </c>
      <c r="E1804" s="5" t="s">
        <v>152</v>
      </c>
      <c r="F1804" s="9">
        <v>61</v>
      </c>
      <c r="G1804" s="9">
        <v>722</v>
      </c>
      <c r="H1804" s="5" t="s">
        <v>20</v>
      </c>
      <c r="I1804" s="5" t="s">
        <v>4567</v>
      </c>
      <c r="J1804" s="12" t="str">
        <f>HYPERLINK("https://www.boe.es/gazeta/dias/1807/07/14/pdfs/GMD-1807-61.pdf#page=8","Abrir facsímil")</f>
        <v>Abrir facsímil</v>
      </c>
      <c r="K1804" s="15" t="s">
        <v>22</v>
      </c>
    </row>
    <row r="1805" spans="1:11" ht="42" customHeight="1">
      <c r="A1805" s="4" t="s">
        <v>4568</v>
      </c>
      <c r="B1805" s="5" t="s">
        <v>4569</v>
      </c>
      <c r="C1805" s="5" t="s">
        <v>34</v>
      </c>
      <c r="D1805" s="5" t="s">
        <v>35</v>
      </c>
      <c r="E1805" s="5" t="s">
        <v>319</v>
      </c>
      <c r="F1805" s="9">
        <v>54</v>
      </c>
      <c r="G1805" s="9">
        <v>645</v>
      </c>
      <c r="H1805" s="5" t="s">
        <v>20</v>
      </c>
      <c r="I1805" s="5" t="s">
        <v>4570</v>
      </c>
      <c r="J1805" s="12" t="str">
        <f>HYPERLINK("https://www.boe.es/gazeta/dias/1807/06/26/pdfs/GMD-1807-54.pdf#page=7","Abrir facsímil")</f>
        <v>Abrir facsímil</v>
      </c>
      <c r="K1805" s="15" t="s">
        <v>22</v>
      </c>
    </row>
    <row r="1806" spans="1:11" ht="42" customHeight="1">
      <c r="A1806" s="4" t="s">
        <v>4571</v>
      </c>
      <c r="B1806" s="5" t="s">
        <v>4572</v>
      </c>
      <c r="C1806" s="5" t="s">
        <v>69</v>
      </c>
      <c r="D1806" s="5" t="s">
        <v>70</v>
      </c>
      <c r="E1806" s="5" t="s">
        <v>71</v>
      </c>
      <c r="F1806" s="9">
        <v>35</v>
      </c>
      <c r="G1806" s="9" t="s">
        <v>2055</v>
      </c>
      <c r="H1806" s="5" t="s">
        <v>20</v>
      </c>
      <c r="I1806" s="5" t="s">
        <v>4573</v>
      </c>
      <c r="J1806" s="12" t="str">
        <f>HYPERLINK("https://www.boe.es/gazeta/dias/1807/04/21/pdfs/C00001-00004.pdf#page=2","Abrir facsímil")</f>
        <v>Abrir facsímil</v>
      </c>
      <c r="K1806" s="15" t="s">
        <v>22</v>
      </c>
    </row>
    <row r="1807" spans="1:11" ht="42" customHeight="1">
      <c r="A1807" s="4" t="s">
        <v>4574</v>
      </c>
      <c r="B1807" s="5" t="s">
        <v>4575</v>
      </c>
      <c r="C1807" s="5" t="s">
        <v>34</v>
      </c>
      <c r="D1807" s="5" t="s">
        <v>35</v>
      </c>
      <c r="E1807" s="5" t="s">
        <v>186</v>
      </c>
      <c r="F1807" s="9">
        <v>72</v>
      </c>
      <c r="G1807" s="9">
        <v>828</v>
      </c>
      <c r="H1807" s="5" t="s">
        <v>20</v>
      </c>
      <c r="I1807" s="5" t="s">
        <v>4576</v>
      </c>
      <c r="J1807" s="12" t="str">
        <f>HYPERLINK("https://www.boe.es/gazeta/dias/1807/08/11/pdfs/GMD-1807-72.pdf#page=8","Abrir facsímil")</f>
        <v>Abrir facsímil</v>
      </c>
      <c r="K1807" s="15" t="s">
        <v>22</v>
      </c>
    </row>
    <row r="1808" spans="1:11" ht="42" customHeight="1">
      <c r="A1808" s="4" t="s">
        <v>4577</v>
      </c>
      <c r="B1808" s="5" t="s">
        <v>4578</v>
      </c>
      <c r="C1808" s="5" t="s">
        <v>34</v>
      </c>
      <c r="D1808" s="5" t="s">
        <v>35</v>
      </c>
      <c r="E1808" s="5" t="s">
        <v>321</v>
      </c>
      <c r="F1808" s="9">
        <v>75</v>
      </c>
      <c r="G1808" s="9">
        <v>867</v>
      </c>
      <c r="H1808" s="5" t="s">
        <v>20</v>
      </c>
      <c r="I1808" s="5" t="s">
        <v>4579</v>
      </c>
      <c r="J1808" s="12" t="str">
        <f>HYPERLINK("https://www.boe.es/gazeta/dias/1807/08/21/pdfs/GMD-1807-75.pdf#page=7","Abrir facsímil")</f>
        <v>Abrir facsímil</v>
      </c>
      <c r="K1808" s="15" t="s">
        <v>22</v>
      </c>
    </row>
    <row r="1809" spans="1:11" ht="42" customHeight="1">
      <c r="A1809" s="4" t="s">
        <v>4577</v>
      </c>
      <c r="B1809" s="5" t="s">
        <v>4578</v>
      </c>
      <c r="C1809" s="5" t="s">
        <v>34</v>
      </c>
      <c r="D1809" s="5" t="s">
        <v>35</v>
      </c>
      <c r="E1809" s="5" t="s">
        <v>361</v>
      </c>
      <c r="F1809" s="9">
        <v>113</v>
      </c>
      <c r="G1809" s="9">
        <v>1322</v>
      </c>
      <c r="H1809" s="5" t="s">
        <v>20</v>
      </c>
      <c r="I1809" s="5" t="s">
        <v>4580</v>
      </c>
      <c r="J1809" s="12" t="str">
        <f>HYPERLINK("https://www.boe.es/gazeta/dias/1807/12/22/pdfs/GMD-1807-113.pdf#page=10","Abrir facsímil")</f>
        <v>Abrir facsímil</v>
      </c>
      <c r="K1809" s="15" t="s">
        <v>22</v>
      </c>
    </row>
    <row r="1810" spans="1:11" ht="42" customHeight="1">
      <c r="A1810" s="4" t="s">
        <v>4581</v>
      </c>
      <c r="B1810" s="5" t="s">
        <v>4582</v>
      </c>
      <c r="C1810" s="5" t="s">
        <v>89</v>
      </c>
      <c r="D1810" s="5" t="s">
        <v>90</v>
      </c>
      <c r="E1810" s="5" t="s">
        <v>406</v>
      </c>
      <c r="F1810" s="9">
        <v>82</v>
      </c>
      <c r="G1810" s="9">
        <v>960</v>
      </c>
      <c r="H1810" s="5" t="s">
        <v>20</v>
      </c>
      <c r="I1810" s="5" t="s">
        <v>4583</v>
      </c>
      <c r="J1810" s="12" t="str">
        <f>HYPERLINK("https://www.boe.es/gazeta/dias/1807/09/15/pdfs/GMD-1807-82.pdf#page=12","Abrir facsímil")</f>
        <v>Abrir facsímil</v>
      </c>
      <c r="K1810" s="15" t="s">
        <v>22</v>
      </c>
    </row>
    <row r="1811" spans="1:11" ht="42" customHeight="1">
      <c r="A1811" s="4" t="s">
        <v>4584</v>
      </c>
      <c r="B1811" s="5" t="s">
        <v>4585</v>
      </c>
      <c r="C1811" s="5" t="s">
        <v>34</v>
      </c>
      <c r="D1811" s="5" t="s">
        <v>35</v>
      </c>
      <c r="E1811" s="5" t="s">
        <v>390</v>
      </c>
      <c r="F1811" s="9">
        <v>24</v>
      </c>
      <c r="G1811" s="9">
        <v>285</v>
      </c>
      <c r="H1811" s="5" t="s">
        <v>20</v>
      </c>
      <c r="I1811" s="5" t="s">
        <v>4586</v>
      </c>
      <c r="J1811" s="12" t="str">
        <f>HYPERLINK("https://www.boe.es/gazeta/dias/1807/03/13/pdfs/GMD-1807-24.pdf#page=9","Abrir facsímil")</f>
        <v>Abrir facsímil</v>
      </c>
      <c r="K1811" s="15" t="s">
        <v>22</v>
      </c>
    </row>
    <row r="1812" spans="1:11" ht="42" customHeight="1">
      <c r="A1812" s="4" t="s">
        <v>4584</v>
      </c>
      <c r="B1812" s="5" t="s">
        <v>4585</v>
      </c>
      <c r="C1812" s="5" t="s">
        <v>24</v>
      </c>
      <c r="D1812" s="5" t="s">
        <v>18</v>
      </c>
      <c r="E1812" s="5" t="s">
        <v>152</v>
      </c>
      <c r="F1812" s="9">
        <v>61</v>
      </c>
      <c r="G1812" s="9">
        <v>723</v>
      </c>
      <c r="H1812" s="5" t="s">
        <v>20</v>
      </c>
      <c r="I1812" s="5" t="s">
        <v>4587</v>
      </c>
      <c r="J1812" s="12" t="str">
        <f>HYPERLINK("https://www.boe.es/gazeta/dias/1807/07/14/pdfs/GMD-1807-61.pdf#page=9","Abrir facsímil")</f>
        <v>Abrir facsímil</v>
      </c>
      <c r="K1812" s="15" t="s">
        <v>22</v>
      </c>
    </row>
    <row r="1813" spans="1:11" ht="42" customHeight="1">
      <c r="A1813" s="4" t="s">
        <v>4588</v>
      </c>
      <c r="B1813" s="5" t="s">
        <v>4589</v>
      </c>
      <c r="C1813" s="5" t="s">
        <v>17</v>
      </c>
      <c r="D1813" s="5" t="s">
        <v>18</v>
      </c>
      <c r="E1813" s="5" t="s">
        <v>46</v>
      </c>
      <c r="F1813" s="9">
        <v>78</v>
      </c>
      <c r="G1813" s="9">
        <v>905</v>
      </c>
      <c r="H1813" s="5" t="s">
        <v>20</v>
      </c>
      <c r="I1813" s="5" t="s">
        <v>4590</v>
      </c>
      <c r="J1813" s="12" t="str">
        <f>HYPERLINK("https://www.boe.es/gazeta/dias/1807/09/01/pdfs/GMD-1807-78.pdf#page=9","Abrir facsímil")</f>
        <v>Abrir facsímil</v>
      </c>
      <c r="K1813" s="15" t="s">
        <v>22</v>
      </c>
    </row>
    <row r="1814" spans="1:11" ht="42" customHeight="1">
      <c r="A1814" s="4" t="s">
        <v>4591</v>
      </c>
      <c r="B1814" s="5" t="s">
        <v>4592</v>
      </c>
      <c r="C1814" s="5" t="s">
        <v>24</v>
      </c>
      <c r="D1814" s="5" t="s">
        <v>18</v>
      </c>
      <c r="E1814" s="5" t="s">
        <v>534</v>
      </c>
      <c r="F1814" s="9" t="s">
        <v>535</v>
      </c>
      <c r="G1814" s="9">
        <v>100</v>
      </c>
      <c r="H1814" s="5" t="s">
        <v>20</v>
      </c>
      <c r="I1814" s="5" t="s">
        <v>4593</v>
      </c>
      <c r="J1814" s="12" t="str">
        <f>HYPERLINK("https://www.boe.es/gazeta/dias/1807/01/24/pdfs/GMD-1807-9E.pdf#page=4","Abrir facsímil")</f>
        <v>Abrir facsímil</v>
      </c>
      <c r="K1814" s="15" t="s">
        <v>22</v>
      </c>
    </row>
    <row r="1815" spans="1:11" ht="42" customHeight="1">
      <c r="A1815" s="4" t="s">
        <v>4594</v>
      </c>
      <c r="B1815" s="5" t="s">
        <v>4595</v>
      </c>
      <c r="C1815" s="5" t="s">
        <v>49</v>
      </c>
      <c r="D1815" s="5" t="s">
        <v>50</v>
      </c>
      <c r="E1815" s="5" t="s">
        <v>123</v>
      </c>
      <c r="F1815" s="9">
        <v>70</v>
      </c>
      <c r="G1815" s="9">
        <v>802</v>
      </c>
      <c r="H1815" s="5" t="s">
        <v>20</v>
      </c>
      <c r="I1815" s="5" t="s">
        <v>4596</v>
      </c>
      <c r="J1815" s="12" t="str">
        <f>HYPERLINK("https://www.boe.es/gazeta/dias/1807/08/04/pdfs/GMD-1807-70.pdf#page=6","Abrir facsímil")</f>
        <v>Abrir facsímil</v>
      </c>
      <c r="K1815" s="15" t="s">
        <v>22</v>
      </c>
    </row>
    <row r="1816" spans="1:11" ht="42" customHeight="1">
      <c r="A1816" s="4" t="s">
        <v>4597</v>
      </c>
      <c r="B1816" s="5" t="s">
        <v>4598</v>
      </c>
      <c r="C1816" s="5" t="s">
        <v>49</v>
      </c>
      <c r="D1816" s="5" t="s">
        <v>50</v>
      </c>
      <c r="E1816" s="5" t="s">
        <v>754</v>
      </c>
      <c r="F1816" s="9">
        <v>103</v>
      </c>
      <c r="G1816" s="9">
        <v>1197</v>
      </c>
      <c r="H1816" s="5" t="s">
        <v>20</v>
      </c>
      <c r="I1816" s="5" t="s">
        <v>4599</v>
      </c>
      <c r="J1816" s="12" t="str">
        <f>HYPERLINK("https://www.boe.es/gazeta/dias/1807/11/20/pdfs/GMD-1807-103.pdf#page=5","Abrir facsímil")</f>
        <v>Abrir facsímil</v>
      </c>
      <c r="K1816" s="15" t="s">
        <v>22</v>
      </c>
    </row>
    <row r="1817" spans="1:11" ht="42" customHeight="1">
      <c r="A1817" s="4" t="s">
        <v>4600</v>
      </c>
      <c r="B1817" s="5" t="s">
        <v>4600</v>
      </c>
      <c r="C1817" s="5" t="s">
        <v>24</v>
      </c>
      <c r="D1817" s="5" t="s">
        <v>18</v>
      </c>
      <c r="E1817" s="5" t="s">
        <v>221</v>
      </c>
      <c r="F1817" s="9">
        <v>73</v>
      </c>
      <c r="G1817" s="9">
        <v>847</v>
      </c>
      <c r="H1817" s="5" t="s">
        <v>20</v>
      </c>
      <c r="I1817" s="5" t="s">
        <v>4601</v>
      </c>
      <c r="J1817" s="12" t="str">
        <f>HYPERLINK("https://www.boe.es/gazeta/dias/1807/08/14/pdfs/GMD-1807-73.pdf#page=11","Abrir facsímil")</f>
        <v>Abrir facsímil</v>
      </c>
      <c r="K1817" s="15" t="s">
        <v>22</v>
      </c>
    </row>
    <row r="1818" spans="1:11" ht="42" customHeight="1">
      <c r="A1818" s="4" t="s">
        <v>4602</v>
      </c>
      <c r="B1818" s="5" t="s">
        <v>4603</v>
      </c>
      <c r="C1818" s="5" t="s">
        <v>89</v>
      </c>
      <c r="D1818" s="5" t="s">
        <v>90</v>
      </c>
      <c r="E1818" s="5" t="s">
        <v>2914</v>
      </c>
      <c r="F1818" s="9">
        <v>29</v>
      </c>
      <c r="G1818" s="9">
        <v>348</v>
      </c>
      <c r="H1818" s="5" t="s">
        <v>20</v>
      </c>
      <c r="I1818" s="5" t="s">
        <v>4604</v>
      </c>
      <c r="J1818" s="12" t="str">
        <f>HYPERLINK("https://www.boe.es/gazeta/dias/1807/03/31/pdfs/GMD-1807-29.pdf#page=12","Abrir facsímil")</f>
        <v>Abrir facsímil</v>
      </c>
      <c r="K1818" s="15" t="s">
        <v>22</v>
      </c>
    </row>
    <row r="1819" spans="1:11" ht="42" customHeight="1">
      <c r="A1819" s="4" t="s">
        <v>4605</v>
      </c>
      <c r="B1819" s="5" t="s">
        <v>4606</v>
      </c>
      <c r="C1819" s="5" t="s">
        <v>49</v>
      </c>
      <c r="D1819" s="5" t="s">
        <v>50</v>
      </c>
      <c r="E1819" s="5" t="s">
        <v>186</v>
      </c>
      <c r="F1819" s="9">
        <v>72</v>
      </c>
      <c r="G1819" s="9">
        <v>822</v>
      </c>
      <c r="H1819" s="5" t="s">
        <v>20</v>
      </c>
      <c r="I1819" s="5" t="s">
        <v>4607</v>
      </c>
      <c r="J1819" s="12" t="str">
        <f>HYPERLINK("https://www.boe.es/gazeta/dias/1807/08/11/pdfs/GMD-1807-72.pdf#page=2","Abrir facsímil")</f>
        <v>Abrir facsímil</v>
      </c>
      <c r="K1819" s="15" t="s">
        <v>22</v>
      </c>
    </row>
    <row r="1820" spans="1:11" ht="42" customHeight="1">
      <c r="A1820" s="4" t="s">
        <v>4608</v>
      </c>
      <c r="B1820" s="5" t="s">
        <v>4608</v>
      </c>
      <c r="C1820" s="5" t="s">
        <v>28</v>
      </c>
      <c r="D1820" s="5" t="s">
        <v>29</v>
      </c>
      <c r="E1820" s="5" t="s">
        <v>444</v>
      </c>
      <c r="F1820" s="9">
        <v>95</v>
      </c>
      <c r="G1820" s="9">
        <v>1104</v>
      </c>
      <c r="H1820" s="5" t="s">
        <v>20</v>
      </c>
      <c r="I1820" s="5" t="s">
        <v>4609</v>
      </c>
      <c r="J1820" s="12" t="str">
        <f>HYPERLINK("https://www.boe.es/gazeta/dias/1807/10/23/pdfs/GMD-1807-95.pdf#page=8","Abrir facsímil")</f>
        <v>Abrir facsímil</v>
      </c>
      <c r="K1820" s="15" t="s">
        <v>22</v>
      </c>
    </row>
    <row r="1821" spans="1:11" ht="42" customHeight="1">
      <c r="A1821" s="4" t="s">
        <v>4610</v>
      </c>
      <c r="B1821" s="5" t="s">
        <v>4611</v>
      </c>
      <c r="C1821" s="5" t="s">
        <v>17</v>
      </c>
      <c r="D1821" s="5" t="s">
        <v>18</v>
      </c>
      <c r="E1821" s="5" t="s">
        <v>215</v>
      </c>
      <c r="F1821" s="9">
        <v>5</v>
      </c>
      <c r="G1821" s="9">
        <v>55</v>
      </c>
      <c r="H1821" s="5" t="s">
        <v>20</v>
      </c>
      <c r="I1821" s="5" t="s">
        <v>4612</v>
      </c>
      <c r="J1821" s="12" t="str">
        <f>HYPERLINK("https://www.boe.es/gazeta/dias/1807/01/16/pdfs/GMD-1807-5.pdf#page=11","Abrir facsímil")</f>
        <v>Abrir facsímil</v>
      </c>
      <c r="K1821" s="15" t="s">
        <v>22</v>
      </c>
    </row>
    <row r="1822" spans="1:11" ht="42" customHeight="1">
      <c r="A1822" s="4" t="s">
        <v>4610</v>
      </c>
      <c r="B1822" s="5" t="s">
        <v>4611</v>
      </c>
      <c r="C1822" s="5" t="s">
        <v>24</v>
      </c>
      <c r="D1822" s="5" t="s">
        <v>18</v>
      </c>
      <c r="E1822" s="5" t="s">
        <v>120</v>
      </c>
      <c r="F1822" s="9">
        <v>10</v>
      </c>
      <c r="G1822" s="9">
        <v>115</v>
      </c>
      <c r="H1822" s="5" t="s">
        <v>20</v>
      </c>
      <c r="I1822" s="5" t="s">
        <v>4613</v>
      </c>
      <c r="J1822" s="12" t="str">
        <f>HYPERLINK("https://www.boe.es/gazeta/dias/1807/01/27/pdfs/GMD-1807-10.pdf#page=11","Abrir facsímil")</f>
        <v>Abrir facsímil</v>
      </c>
      <c r="K1822" s="15" t="s">
        <v>22</v>
      </c>
    </row>
    <row r="1823" spans="1:11" ht="42" customHeight="1">
      <c r="A1823" s="4" t="s">
        <v>4610</v>
      </c>
      <c r="B1823" s="5" t="s">
        <v>4611</v>
      </c>
      <c r="C1823" s="5" t="s">
        <v>24</v>
      </c>
      <c r="D1823" s="5" t="s">
        <v>18</v>
      </c>
      <c r="E1823" s="5" t="s">
        <v>98</v>
      </c>
      <c r="F1823" s="9">
        <v>34</v>
      </c>
      <c r="G1823" s="9">
        <v>407</v>
      </c>
      <c r="H1823" s="5" t="s">
        <v>20</v>
      </c>
      <c r="I1823" s="5" t="s">
        <v>4614</v>
      </c>
      <c r="J1823" s="12" t="str">
        <f>HYPERLINK("https://www.boe.es/gazeta/dias/1807/04/17/pdfs/GMD-1807-34.pdf#page=11","Abrir facsímil")</f>
        <v>Abrir facsímil</v>
      </c>
      <c r="K1823" s="15" t="s">
        <v>22</v>
      </c>
    </row>
    <row r="1824" spans="1:11" ht="42" customHeight="1">
      <c r="A1824" s="4" t="s">
        <v>4610</v>
      </c>
      <c r="B1824" s="5" t="s">
        <v>4611</v>
      </c>
      <c r="C1824" s="5" t="s">
        <v>34</v>
      </c>
      <c r="D1824" s="5" t="s">
        <v>35</v>
      </c>
      <c r="E1824" s="5" t="s">
        <v>71</v>
      </c>
      <c r="F1824" s="9">
        <v>35</v>
      </c>
      <c r="G1824" s="9">
        <v>419</v>
      </c>
      <c r="H1824" s="5" t="s">
        <v>20</v>
      </c>
      <c r="I1824" s="5" t="s">
        <v>4615</v>
      </c>
      <c r="J1824" s="12" t="str">
        <f>HYPERLINK("https://www.boe.es/gazeta/dias/1807/04/21/pdfs/GMD-1807-35.pdf#page=11","Abrir facsímil")</f>
        <v>Abrir facsímil</v>
      </c>
      <c r="K1824" s="15" t="s">
        <v>22</v>
      </c>
    </row>
    <row r="1825" spans="1:11" ht="42" customHeight="1">
      <c r="A1825" s="4" t="s">
        <v>4610</v>
      </c>
      <c r="B1825" s="5" t="s">
        <v>4611</v>
      </c>
      <c r="C1825" s="5" t="s">
        <v>24</v>
      </c>
      <c r="D1825" s="5" t="s">
        <v>18</v>
      </c>
      <c r="E1825" s="5" t="s">
        <v>114</v>
      </c>
      <c r="F1825" s="9">
        <v>46</v>
      </c>
      <c r="G1825" s="9">
        <v>553</v>
      </c>
      <c r="H1825" s="5" t="s">
        <v>20</v>
      </c>
      <c r="I1825" s="5" t="s">
        <v>4616</v>
      </c>
      <c r="J1825" s="12" t="str">
        <f>HYPERLINK("https://www.boe.es/gazeta/dias/1807/05/29/pdfs/GMD-1807-46.pdf#page=11","Abrir facsímil")</f>
        <v>Abrir facsímil</v>
      </c>
      <c r="K1825" s="15" t="s">
        <v>22</v>
      </c>
    </row>
    <row r="1826" spans="1:11" ht="42" customHeight="1">
      <c r="A1826" s="4" t="s">
        <v>4610</v>
      </c>
      <c r="B1826" s="5" t="s">
        <v>4611</v>
      </c>
      <c r="C1826" s="5" t="s">
        <v>17</v>
      </c>
      <c r="D1826" s="5" t="s">
        <v>18</v>
      </c>
      <c r="E1826" s="5" t="s">
        <v>219</v>
      </c>
      <c r="F1826" s="9">
        <v>56</v>
      </c>
      <c r="G1826" s="9">
        <v>672</v>
      </c>
      <c r="H1826" s="5" t="s">
        <v>20</v>
      </c>
      <c r="I1826" s="5" t="s">
        <v>4617</v>
      </c>
      <c r="J1826" s="12" t="str">
        <f>HYPERLINK("https://www.boe.es/gazeta/dias/1807/07/03/pdfs/GMD-1807-56.pdf#page=10","Abrir facsímil")</f>
        <v>Abrir facsímil</v>
      </c>
      <c r="K1826" s="15" t="s">
        <v>22</v>
      </c>
    </row>
    <row r="1827" spans="1:11" ht="42" customHeight="1">
      <c r="A1827" s="4" t="s">
        <v>4610</v>
      </c>
      <c r="B1827" s="5" t="s">
        <v>4611</v>
      </c>
      <c r="C1827" s="5" t="s">
        <v>24</v>
      </c>
      <c r="D1827" s="5" t="s">
        <v>18</v>
      </c>
      <c r="E1827" s="5" t="s">
        <v>62</v>
      </c>
      <c r="F1827" s="9">
        <v>68</v>
      </c>
      <c r="G1827" s="9">
        <v>786</v>
      </c>
      <c r="H1827" s="5" t="s">
        <v>20</v>
      </c>
      <c r="I1827" s="5" t="s">
        <v>4618</v>
      </c>
      <c r="J1827" s="12" t="str">
        <f>HYPERLINK("https://www.boe.es/gazeta/dias/1807/07/31/pdfs/GMD-1807-68.pdf#page=10","Abrir facsímil")</f>
        <v>Abrir facsímil</v>
      </c>
      <c r="K1827" s="15" t="s">
        <v>22</v>
      </c>
    </row>
    <row r="1828" spans="1:11" ht="42" customHeight="1">
      <c r="A1828" s="4" t="s">
        <v>4610</v>
      </c>
      <c r="B1828" s="5" t="s">
        <v>4611</v>
      </c>
      <c r="C1828" s="5" t="s">
        <v>24</v>
      </c>
      <c r="D1828" s="5" t="s">
        <v>18</v>
      </c>
      <c r="E1828" s="5" t="s">
        <v>581</v>
      </c>
      <c r="F1828" s="9">
        <v>71</v>
      </c>
      <c r="G1828" s="9">
        <v>817</v>
      </c>
      <c r="H1828" s="5" t="s">
        <v>20</v>
      </c>
      <c r="I1828" s="5" t="s">
        <v>4619</v>
      </c>
      <c r="J1828" s="12" t="str">
        <f>HYPERLINK("https://www.boe.es/gazeta/dias/1807/08/07/pdfs/GMD-1807-71.pdf#page=9","Abrir facsímil")</f>
        <v>Abrir facsímil</v>
      </c>
      <c r="K1828" s="15" t="s">
        <v>22</v>
      </c>
    </row>
    <row r="1829" spans="1:11" ht="42" customHeight="1">
      <c r="A1829" s="4" t="s">
        <v>4610</v>
      </c>
      <c r="B1829" s="5" t="s">
        <v>4611</v>
      </c>
      <c r="C1829" s="5" t="s">
        <v>89</v>
      </c>
      <c r="D1829" s="5" t="s">
        <v>90</v>
      </c>
      <c r="E1829" s="5" t="s">
        <v>127</v>
      </c>
      <c r="F1829" s="9">
        <v>81</v>
      </c>
      <c r="G1829" s="9">
        <v>947</v>
      </c>
      <c r="H1829" s="5" t="s">
        <v>20</v>
      </c>
      <c r="I1829" s="5" t="s">
        <v>4620</v>
      </c>
      <c r="J1829" s="12" t="str">
        <f>HYPERLINK("https://www.boe.es/gazeta/dias/1807/09/11/pdfs/GMD-1807-81.pdf#page=11","Abrir facsímil")</f>
        <v>Abrir facsímil</v>
      </c>
      <c r="K1829" s="15" t="s">
        <v>22</v>
      </c>
    </row>
    <row r="1830" spans="1:11" ht="42" customHeight="1">
      <c r="A1830" s="4" t="s">
        <v>4610</v>
      </c>
      <c r="B1830" s="5" t="s">
        <v>4611</v>
      </c>
      <c r="C1830" s="5" t="s">
        <v>24</v>
      </c>
      <c r="D1830" s="5" t="s">
        <v>18</v>
      </c>
      <c r="E1830" s="5" t="s">
        <v>620</v>
      </c>
      <c r="F1830" s="9">
        <v>84</v>
      </c>
      <c r="G1830" s="9">
        <v>983</v>
      </c>
      <c r="H1830" s="5" t="s">
        <v>20</v>
      </c>
      <c r="I1830" s="5" t="s">
        <v>4621</v>
      </c>
      <c r="J1830" s="12" t="str">
        <f>HYPERLINK("https://www.boe.es/gazeta/dias/1807/09/22/pdfs/GMD-1807-84.pdf#page=11","Abrir facsímil")</f>
        <v>Abrir facsímil</v>
      </c>
      <c r="K1830" s="15" t="s">
        <v>22</v>
      </c>
    </row>
    <row r="1831" spans="1:11" ht="42" customHeight="1">
      <c r="A1831" s="4" t="s">
        <v>4610</v>
      </c>
      <c r="B1831" s="5" t="s">
        <v>4611</v>
      </c>
      <c r="C1831" s="5" t="s">
        <v>24</v>
      </c>
      <c r="D1831" s="5" t="s">
        <v>18</v>
      </c>
      <c r="E1831" s="5" t="s">
        <v>654</v>
      </c>
      <c r="F1831" s="9">
        <v>94</v>
      </c>
      <c r="G1831" s="9">
        <v>1094</v>
      </c>
      <c r="H1831" s="5" t="s">
        <v>20</v>
      </c>
      <c r="I1831" s="5" t="s">
        <v>4622</v>
      </c>
      <c r="J1831" s="12" t="str">
        <f>HYPERLINK("https://www.boe.es/gazeta/dias/1807/10/20/pdfs/GMD-1807-94.pdf#page=10","Abrir facsímil")</f>
        <v>Abrir facsímil</v>
      </c>
      <c r="K1831" s="15" t="s">
        <v>22</v>
      </c>
    </row>
    <row r="1832" spans="1:11" ht="42" customHeight="1">
      <c r="A1832" s="4" t="s">
        <v>4610</v>
      </c>
      <c r="B1832" s="5" t="s">
        <v>4611</v>
      </c>
      <c r="C1832" s="5" t="s">
        <v>24</v>
      </c>
      <c r="D1832" s="5" t="s">
        <v>18</v>
      </c>
      <c r="E1832" s="5" t="s">
        <v>1076</v>
      </c>
      <c r="F1832" s="9">
        <v>96</v>
      </c>
      <c r="G1832" s="9">
        <v>1118</v>
      </c>
      <c r="H1832" s="5" t="s">
        <v>20</v>
      </c>
      <c r="I1832" s="5" t="s">
        <v>4623</v>
      </c>
      <c r="J1832" s="12" t="str">
        <f>HYPERLINK("https://www.boe.es/gazeta/dias/1807/10/27/pdfs/GMD-1807-96.pdf#page=10","Abrir facsímil")</f>
        <v>Abrir facsímil</v>
      </c>
      <c r="K1832" s="15" t="s">
        <v>22</v>
      </c>
    </row>
    <row r="1833" spans="1:11" ht="42" customHeight="1">
      <c r="A1833" s="4" t="s">
        <v>4610</v>
      </c>
      <c r="B1833" s="5" t="s">
        <v>4611</v>
      </c>
      <c r="C1833" s="5" t="s">
        <v>24</v>
      </c>
      <c r="D1833" s="5" t="s">
        <v>18</v>
      </c>
      <c r="E1833" s="5" t="s">
        <v>461</v>
      </c>
      <c r="F1833" s="9">
        <v>99</v>
      </c>
      <c r="G1833" s="9">
        <v>1154</v>
      </c>
      <c r="H1833" s="5" t="s">
        <v>20</v>
      </c>
      <c r="I1833" s="5" t="s">
        <v>4624</v>
      </c>
      <c r="J1833" s="12" t="str">
        <f>HYPERLINK("https://www.boe.es/gazeta/dias/1807/11/06/pdfs/GMD-1807-99.pdf#page=10","Abrir facsímil")</f>
        <v>Abrir facsímil</v>
      </c>
      <c r="K1833" s="15" t="s">
        <v>22</v>
      </c>
    </row>
    <row r="1834" spans="1:11" ht="42" customHeight="1">
      <c r="A1834" s="4" t="s">
        <v>4625</v>
      </c>
      <c r="B1834" s="5" t="s">
        <v>4626</v>
      </c>
      <c r="C1834" s="5" t="s">
        <v>28</v>
      </c>
      <c r="D1834" s="5" t="s">
        <v>29</v>
      </c>
      <c r="E1834" s="5" t="s">
        <v>426</v>
      </c>
      <c r="F1834" s="9">
        <v>93</v>
      </c>
      <c r="G1834" s="9">
        <v>1083</v>
      </c>
      <c r="H1834" s="5" t="s">
        <v>20</v>
      </c>
      <c r="I1834" s="5" t="s">
        <v>4627</v>
      </c>
      <c r="J1834" s="12" t="str">
        <f>HYPERLINK("https://www.boe.es/gazeta/dias/1807/10/16/pdfs/GMD-1807-93.pdf#page=11","Abrir facsímil")</f>
        <v>Abrir facsímil</v>
      </c>
      <c r="K1834" s="15" t="s">
        <v>22</v>
      </c>
    </row>
    <row r="1835" spans="1:11" ht="42" customHeight="1">
      <c r="A1835" s="4" t="s">
        <v>4628</v>
      </c>
      <c r="B1835" s="5" t="s">
        <v>4629</v>
      </c>
      <c r="C1835" s="5" t="s">
        <v>28</v>
      </c>
      <c r="D1835" s="5" t="s">
        <v>29</v>
      </c>
      <c r="E1835" s="5" t="s">
        <v>53</v>
      </c>
      <c r="F1835" s="9">
        <v>64</v>
      </c>
      <c r="G1835" s="9">
        <v>748</v>
      </c>
      <c r="H1835" s="5" t="s">
        <v>20</v>
      </c>
      <c r="I1835" s="5" t="s">
        <v>4630</v>
      </c>
      <c r="J1835" s="12" t="str">
        <f>HYPERLINK("https://www.boe.es/gazeta/dias/1807/07/21/pdfs/GMD-1807-64.pdf#page=10","Abrir facsímil")</f>
        <v>Abrir facsímil</v>
      </c>
      <c r="K1835" s="15" t="s">
        <v>22</v>
      </c>
    </row>
    <row r="1836" spans="1:11" ht="42" customHeight="1">
      <c r="A1836" s="4" t="s">
        <v>4631</v>
      </c>
      <c r="B1836" s="5" t="s">
        <v>4632</v>
      </c>
      <c r="C1836" s="5" t="s">
        <v>34</v>
      </c>
      <c r="D1836" s="5" t="s">
        <v>35</v>
      </c>
      <c r="E1836" s="5" t="s">
        <v>135</v>
      </c>
      <c r="F1836" s="9">
        <v>80</v>
      </c>
      <c r="G1836" s="9">
        <v>932</v>
      </c>
      <c r="H1836" s="5" t="s">
        <v>20</v>
      </c>
      <c r="I1836" s="5" t="s">
        <v>4633</v>
      </c>
      <c r="J1836" s="12" t="str">
        <f>HYPERLINK("https://www.boe.es/gazeta/dias/1807/09/08/pdfs/GMD-1807-80.pdf#page=8","Abrir facsímil")</f>
        <v>Abrir facsímil</v>
      </c>
      <c r="K1836" s="15" t="s">
        <v>22</v>
      </c>
    </row>
    <row r="1837" spans="1:11" ht="42" customHeight="1">
      <c r="A1837" s="4" t="s">
        <v>4634</v>
      </c>
      <c r="B1837" s="5" t="s">
        <v>4635</v>
      </c>
      <c r="C1837" s="5" t="s">
        <v>28</v>
      </c>
      <c r="D1837" s="5" t="s">
        <v>29</v>
      </c>
      <c r="E1837" s="5" t="s">
        <v>215</v>
      </c>
      <c r="F1837" s="9">
        <v>5</v>
      </c>
      <c r="G1837" s="9">
        <v>49</v>
      </c>
      <c r="H1837" s="5" t="s">
        <v>20</v>
      </c>
      <c r="I1837" s="5" t="s">
        <v>4636</v>
      </c>
      <c r="J1837" s="12" t="str">
        <f>HYPERLINK("https://www.boe.es/gazeta/dias/1807/01/16/pdfs/GMD-1807-5.pdf#page=5","Abrir facsímil")</f>
        <v>Abrir facsímil</v>
      </c>
      <c r="K1837" s="15" t="s">
        <v>22</v>
      </c>
    </row>
    <row r="1838" spans="1:11" ht="42" customHeight="1">
      <c r="A1838" s="4" t="s">
        <v>4637</v>
      </c>
      <c r="B1838" s="5" t="s">
        <v>4638</v>
      </c>
      <c r="C1838" s="5" t="s">
        <v>28</v>
      </c>
      <c r="D1838" s="5" t="s">
        <v>29</v>
      </c>
      <c r="E1838" s="5" t="s">
        <v>156</v>
      </c>
      <c r="F1838" s="9">
        <v>74</v>
      </c>
      <c r="G1838" s="9">
        <v>855</v>
      </c>
      <c r="H1838" s="5" t="s">
        <v>20</v>
      </c>
      <c r="I1838" s="5" t="s">
        <v>4639</v>
      </c>
      <c r="J1838" s="12" t="str">
        <f>HYPERLINK("https://www.boe.es/gazeta/dias/1807/08/18/pdfs/GMD-1807-74.pdf#page=7","Abrir facsímil")</f>
        <v>Abrir facsímil</v>
      </c>
      <c r="K1838" s="15" t="s">
        <v>22</v>
      </c>
    </row>
    <row r="1839" spans="1:11" ht="42" customHeight="1">
      <c r="A1839" s="4" t="s">
        <v>4637</v>
      </c>
      <c r="B1839" s="5" t="s">
        <v>4638</v>
      </c>
      <c r="C1839" s="5" t="s">
        <v>28</v>
      </c>
      <c r="D1839" s="5" t="s">
        <v>29</v>
      </c>
      <c r="E1839" s="5" t="s">
        <v>156</v>
      </c>
      <c r="F1839" s="9">
        <v>74</v>
      </c>
      <c r="G1839" s="9">
        <v>856</v>
      </c>
      <c r="H1839" s="5" t="s">
        <v>20</v>
      </c>
      <c r="I1839" s="5" t="s">
        <v>4640</v>
      </c>
      <c r="J1839" s="12" t="str">
        <f>HYPERLINK("https://www.boe.es/gazeta/dias/1807/08/18/pdfs/GMD-1807-74.pdf#page=8","Abrir facsímil")</f>
        <v>Abrir facsímil</v>
      </c>
      <c r="K1839" s="15" t="s">
        <v>22</v>
      </c>
    </row>
    <row r="1840" spans="1:11" ht="42" customHeight="1">
      <c r="A1840" s="4" t="s">
        <v>4641</v>
      </c>
      <c r="B1840" s="5" t="s">
        <v>4642</v>
      </c>
      <c r="C1840" s="5" t="s">
        <v>34</v>
      </c>
      <c r="D1840" s="5" t="s">
        <v>35</v>
      </c>
      <c r="E1840" s="5" t="s">
        <v>30</v>
      </c>
      <c r="F1840" s="9">
        <v>13</v>
      </c>
      <c r="G1840" s="9">
        <v>149</v>
      </c>
      <c r="H1840" s="5" t="s">
        <v>20</v>
      </c>
      <c r="I1840" s="5" t="s">
        <v>4643</v>
      </c>
      <c r="J1840" s="12" t="str">
        <f>HYPERLINK("https://www.boe.es/gazeta/dias/1807/02/06/pdfs/GMD-1807-13.pdf#page=9","Abrir facsímil")</f>
        <v>Abrir facsímil</v>
      </c>
      <c r="K1840" s="15" t="s">
        <v>22</v>
      </c>
    </row>
    <row r="1841" spans="1:11" ht="42" customHeight="1">
      <c r="A1841" s="4" t="s">
        <v>4644</v>
      </c>
      <c r="B1841" s="5" t="s">
        <v>4645</v>
      </c>
      <c r="C1841" s="5" t="s">
        <v>34</v>
      </c>
      <c r="D1841" s="5" t="s">
        <v>35</v>
      </c>
      <c r="E1841" s="5" t="s">
        <v>376</v>
      </c>
      <c r="F1841" s="9">
        <v>19</v>
      </c>
      <c r="G1841" s="9">
        <v>225</v>
      </c>
      <c r="H1841" s="5" t="s">
        <v>20</v>
      </c>
      <c r="I1841" s="5" t="s">
        <v>4646</v>
      </c>
      <c r="J1841" s="12" t="str">
        <f>HYPERLINK("https://www.boe.es/gazeta/dias/1807/02/27/pdfs/GMD-1807-19.pdf#page=9","Abrir facsímil")</f>
        <v>Abrir facsímil</v>
      </c>
      <c r="K1841" s="15" t="s">
        <v>22</v>
      </c>
    </row>
    <row r="1842" spans="1:11" ht="42" customHeight="1">
      <c r="A1842" s="4" t="s">
        <v>4647</v>
      </c>
      <c r="B1842" s="5" t="s">
        <v>4648</v>
      </c>
      <c r="C1842" s="5" t="s">
        <v>49</v>
      </c>
      <c r="D1842" s="5" t="s">
        <v>50</v>
      </c>
      <c r="E1842" s="5" t="s">
        <v>309</v>
      </c>
      <c r="F1842" s="9">
        <v>107</v>
      </c>
      <c r="G1842" s="9">
        <v>1242</v>
      </c>
      <c r="H1842" s="5" t="s">
        <v>20</v>
      </c>
      <c r="I1842" s="5" t="s">
        <v>4649</v>
      </c>
      <c r="J1842" s="12" t="str">
        <f>HYPERLINK("https://www.boe.es/gazeta/dias/1807/12/01/pdfs/GMD-1807-107.pdf#page=2","Abrir facsímil")</f>
        <v>Abrir facsímil</v>
      </c>
      <c r="K1842" s="15" t="s">
        <v>22</v>
      </c>
    </row>
    <row r="1843" spans="1:11" ht="42" customHeight="1">
      <c r="A1843" s="4" t="s">
        <v>4650</v>
      </c>
      <c r="B1843" s="5" t="s">
        <v>4650</v>
      </c>
      <c r="C1843" s="5" t="s">
        <v>49</v>
      </c>
      <c r="D1843" s="5" t="s">
        <v>50</v>
      </c>
      <c r="E1843" s="5" t="s">
        <v>361</v>
      </c>
      <c r="F1843" s="9">
        <v>113</v>
      </c>
      <c r="G1843" s="9">
        <v>1316</v>
      </c>
      <c r="H1843" s="5" t="s">
        <v>20</v>
      </c>
      <c r="I1843" s="5" t="s">
        <v>4651</v>
      </c>
      <c r="J1843" s="12" t="str">
        <f>HYPERLINK("https://www.boe.es/gazeta/dias/1807/12/22/pdfs/GMD-1807-113.pdf#page=4","Abrir facsímil")</f>
        <v>Abrir facsímil</v>
      </c>
      <c r="K1843" s="15" t="s">
        <v>22</v>
      </c>
    </row>
    <row r="1844" spans="1:11" ht="42" customHeight="1">
      <c r="A1844" s="4" t="s">
        <v>4652</v>
      </c>
      <c r="B1844" s="5" t="s">
        <v>4653</v>
      </c>
      <c r="C1844" s="5" t="s">
        <v>24</v>
      </c>
      <c r="D1844" s="5" t="s">
        <v>18</v>
      </c>
      <c r="E1844" s="5" t="s">
        <v>314</v>
      </c>
      <c r="F1844" s="9" t="s">
        <v>315</v>
      </c>
      <c r="G1844" s="9">
        <v>1221</v>
      </c>
      <c r="H1844" s="5" t="s">
        <v>20</v>
      </c>
      <c r="I1844" s="5" t="s">
        <v>4654</v>
      </c>
      <c r="J1844" s="12" t="str">
        <f>HYPERLINK("https://www.boe.es/gazeta/dias/1807/11/26/pdfs/GMD-1807-105E.pdf#page=5","Abrir facsímil")</f>
        <v>Abrir facsímil</v>
      </c>
      <c r="K1844" s="15" t="s">
        <v>22</v>
      </c>
    </row>
    <row r="1845" spans="1:11" ht="42" customHeight="1">
      <c r="A1845" s="4" t="s">
        <v>4655</v>
      </c>
      <c r="B1845" s="5" t="s">
        <v>4656</v>
      </c>
      <c r="C1845" s="5" t="s">
        <v>34</v>
      </c>
      <c r="D1845" s="5" t="s">
        <v>35</v>
      </c>
      <c r="E1845" s="5" t="s">
        <v>314</v>
      </c>
      <c r="F1845" s="9" t="s">
        <v>315</v>
      </c>
      <c r="G1845" s="9">
        <v>1222</v>
      </c>
      <c r="H1845" s="5" t="s">
        <v>20</v>
      </c>
      <c r="I1845" s="5" t="s">
        <v>4657</v>
      </c>
      <c r="J1845" s="12" t="str">
        <f>HYPERLINK("https://www.boe.es/gazeta/dias/1807/11/26/pdfs/GMD-1807-105E.pdf#page=6","Abrir facsímil")</f>
        <v>Abrir facsímil</v>
      </c>
      <c r="K1845" s="15" t="s">
        <v>22</v>
      </c>
    </row>
    <row r="1846" spans="1:11" ht="42" customHeight="1">
      <c r="A1846" s="4" t="s">
        <v>4658</v>
      </c>
      <c r="B1846" s="5" t="s">
        <v>4659</v>
      </c>
      <c r="C1846" s="5" t="s">
        <v>28</v>
      </c>
      <c r="D1846" s="5" t="s">
        <v>29</v>
      </c>
      <c r="E1846" s="5" t="s">
        <v>86</v>
      </c>
      <c r="F1846" s="9">
        <v>12</v>
      </c>
      <c r="G1846" s="9">
        <v>136</v>
      </c>
      <c r="H1846" s="5" t="s">
        <v>20</v>
      </c>
      <c r="I1846" s="5" t="s">
        <v>4660</v>
      </c>
      <c r="J1846" s="12" t="str">
        <f>HYPERLINK("https://www.boe.es/gazeta/dias/1807/02/03/pdfs/GMD-1807-12.pdf#page=8","Abrir facsímil")</f>
        <v>Abrir facsímil</v>
      </c>
      <c r="K1846" s="15" t="s">
        <v>22</v>
      </c>
    </row>
    <row r="1847" spans="1:11" ht="42" customHeight="1">
      <c r="A1847" s="4" t="s">
        <v>4661</v>
      </c>
      <c r="B1847" s="5" t="s">
        <v>4662</v>
      </c>
      <c r="C1847" s="5" t="s">
        <v>2383</v>
      </c>
      <c r="D1847" s="5" t="s">
        <v>2384</v>
      </c>
      <c r="E1847" s="5" t="s">
        <v>215</v>
      </c>
      <c r="F1847" s="9">
        <v>5</v>
      </c>
      <c r="G1847" s="9">
        <v>60</v>
      </c>
      <c r="H1847" s="5" t="s">
        <v>20</v>
      </c>
      <c r="I1847" s="5" t="s">
        <v>4663</v>
      </c>
      <c r="J1847" s="12" t="str">
        <f>HYPERLINK("https://www.boe.es/gazeta/dias/1807/01/16/pdfs/GMD-C-1807-5.pdf#page=4","Abrir facsímil")</f>
        <v>Abrir facsímil</v>
      </c>
      <c r="K1847" s="15" t="s">
        <v>22</v>
      </c>
    </row>
    <row r="1848" spans="1:11" ht="42" customHeight="1">
      <c r="A1848" s="4" t="s">
        <v>4664</v>
      </c>
      <c r="B1848" s="5" t="s">
        <v>4665</v>
      </c>
      <c r="C1848" s="5" t="s">
        <v>2383</v>
      </c>
      <c r="D1848" s="5" t="s">
        <v>2384</v>
      </c>
      <c r="E1848" s="5" t="s">
        <v>215</v>
      </c>
      <c r="F1848" s="9">
        <v>5</v>
      </c>
      <c r="G1848" s="9">
        <v>57</v>
      </c>
      <c r="H1848" s="5" t="s">
        <v>20</v>
      </c>
      <c r="I1848" s="5" t="s">
        <v>4666</v>
      </c>
      <c r="J1848" s="12" t="str">
        <f>HYPERLINK("https://www.boe.es/gazeta/dias/1807/01/16/pdfs/GMD-C-1807-5.pdf#page=1","Abrir facsímil")</f>
        <v>Abrir facsímil</v>
      </c>
      <c r="K1848" s="15" t="s">
        <v>22</v>
      </c>
    </row>
    <row r="1849" spans="1:11" ht="42" customHeight="1">
      <c r="A1849" s="4" t="s">
        <v>4664</v>
      </c>
      <c r="B1849" s="5" t="s">
        <v>4665</v>
      </c>
      <c r="C1849" s="5" t="s">
        <v>2383</v>
      </c>
      <c r="D1849" s="5" t="s">
        <v>2384</v>
      </c>
      <c r="E1849" s="5" t="s">
        <v>215</v>
      </c>
      <c r="F1849" s="9">
        <v>5</v>
      </c>
      <c r="G1849" s="9">
        <v>59</v>
      </c>
      <c r="H1849" s="5" t="s">
        <v>20</v>
      </c>
      <c r="I1849" s="5" t="s">
        <v>4667</v>
      </c>
      <c r="J1849" s="12" t="str">
        <f>HYPERLINK("https://www.boe.es/gazeta/dias/1807/01/16/pdfs/GMD-C-1807-5.pdf#page=3","Abrir facsímil")</f>
        <v>Abrir facsímil</v>
      </c>
      <c r="K1849" s="15" t="s">
        <v>22</v>
      </c>
    </row>
    <row r="1850" spans="1:11" ht="42" customHeight="1">
      <c r="A1850" s="4" t="s">
        <v>4668</v>
      </c>
      <c r="B1850" s="5" t="s">
        <v>4668</v>
      </c>
      <c r="C1850" s="5" t="s">
        <v>49</v>
      </c>
      <c r="D1850" s="5" t="s">
        <v>50</v>
      </c>
      <c r="E1850" s="5" t="s">
        <v>572</v>
      </c>
      <c r="F1850" s="9">
        <v>14</v>
      </c>
      <c r="G1850" s="9">
        <v>155</v>
      </c>
      <c r="H1850" s="5" t="s">
        <v>20</v>
      </c>
      <c r="I1850" s="5" t="s">
        <v>4669</v>
      </c>
      <c r="J1850" s="12" t="str">
        <f>HYPERLINK("https://www.boe.es/gazeta/dias/1807/02/10/pdfs/GMD-1807-14.pdf#page=3","Abrir facsímil")</f>
        <v>Abrir facsímil</v>
      </c>
      <c r="K1850" s="15" t="s">
        <v>22</v>
      </c>
    </row>
    <row r="1851" spans="1:11" ht="42" customHeight="1">
      <c r="A1851" s="4" t="s">
        <v>4670</v>
      </c>
      <c r="B1851" s="5" t="s">
        <v>4670</v>
      </c>
      <c r="C1851" s="5" t="s">
        <v>28</v>
      </c>
      <c r="D1851" s="5" t="s">
        <v>29</v>
      </c>
      <c r="E1851" s="5" t="s">
        <v>186</v>
      </c>
      <c r="F1851" s="9">
        <v>72</v>
      </c>
      <c r="G1851" s="9">
        <v>830</v>
      </c>
      <c r="H1851" s="5" t="s">
        <v>20</v>
      </c>
      <c r="I1851" s="5" t="s">
        <v>4671</v>
      </c>
      <c r="J1851" s="12" t="str">
        <f>HYPERLINK("https://www.boe.es/gazeta/dias/1807/08/11/pdfs/GMD-1807-72.pdf#page=10","Abrir facsímil")</f>
        <v>Abrir facsímil</v>
      </c>
      <c r="K1851" s="15" t="s">
        <v>22</v>
      </c>
    </row>
    <row r="1852" spans="1:11" ht="42" customHeight="1">
      <c r="A1852" s="4" t="s">
        <v>4672</v>
      </c>
      <c r="B1852" s="5" t="s">
        <v>4672</v>
      </c>
      <c r="C1852" s="5" t="s">
        <v>49</v>
      </c>
      <c r="D1852" s="5" t="s">
        <v>50</v>
      </c>
      <c r="E1852" s="5" t="s">
        <v>654</v>
      </c>
      <c r="F1852" s="9">
        <v>94</v>
      </c>
      <c r="G1852" s="9">
        <v>1089</v>
      </c>
      <c r="H1852" s="5" t="s">
        <v>20</v>
      </c>
      <c r="I1852" s="5" t="s">
        <v>4673</v>
      </c>
      <c r="J1852" s="12" t="str">
        <f>HYPERLINK("https://www.boe.es/gazeta/dias/1807/10/20/pdfs/GMD-1807-94.pdf#page=5","Abrir facsímil")</f>
        <v>Abrir facsímil</v>
      </c>
      <c r="K1852" s="15" t="s">
        <v>22</v>
      </c>
    </row>
    <row r="1853" spans="1:11" ht="42" customHeight="1">
      <c r="A1853" s="4" t="s">
        <v>4672</v>
      </c>
      <c r="B1853" s="5" t="s">
        <v>4672</v>
      </c>
      <c r="C1853" s="5" t="s">
        <v>49</v>
      </c>
      <c r="D1853" s="5" t="s">
        <v>50</v>
      </c>
      <c r="E1853" s="5" t="s">
        <v>1076</v>
      </c>
      <c r="F1853" s="9">
        <v>96</v>
      </c>
      <c r="G1853" s="9">
        <v>1112</v>
      </c>
      <c r="H1853" s="5" t="s">
        <v>20</v>
      </c>
      <c r="I1853" s="5" t="s">
        <v>4674</v>
      </c>
      <c r="J1853" s="12" t="str">
        <f>HYPERLINK("https://www.boe.es/gazeta/dias/1807/10/27/pdfs/GMD-1807-96.pdf#page=4","Abrir facsímil")</f>
        <v>Abrir facsímil</v>
      </c>
      <c r="K1853" s="15" t="s">
        <v>22</v>
      </c>
    </row>
    <row r="1854" spans="1:11" ht="42" customHeight="1">
      <c r="A1854" s="4" t="s">
        <v>4675</v>
      </c>
      <c r="B1854" s="5" t="s">
        <v>4675</v>
      </c>
      <c r="C1854" s="5" t="s">
        <v>49</v>
      </c>
      <c r="D1854" s="5" t="s">
        <v>50</v>
      </c>
      <c r="E1854" s="5" t="s">
        <v>2914</v>
      </c>
      <c r="F1854" s="9">
        <v>29</v>
      </c>
      <c r="G1854" s="9">
        <v>343</v>
      </c>
      <c r="H1854" s="5" t="s">
        <v>20</v>
      </c>
      <c r="I1854" s="5" t="s">
        <v>4676</v>
      </c>
      <c r="J1854" s="12" t="str">
        <f>HYPERLINK("https://www.boe.es/gazeta/dias/1807/03/31/pdfs/GMD-1807-29.pdf#page=7","Abrir facsímil")</f>
        <v>Abrir facsímil</v>
      </c>
      <c r="K1854" s="15" t="s">
        <v>22</v>
      </c>
    </row>
    <row r="1855" spans="1:11" ht="42" customHeight="1">
      <c r="A1855" s="4" t="s">
        <v>4677</v>
      </c>
      <c r="B1855" s="5" t="s">
        <v>4677</v>
      </c>
      <c r="C1855" s="5" t="s">
        <v>49</v>
      </c>
      <c r="D1855" s="5" t="s">
        <v>50</v>
      </c>
      <c r="E1855" s="5" t="s">
        <v>86</v>
      </c>
      <c r="F1855" s="9">
        <v>12</v>
      </c>
      <c r="G1855" s="9">
        <v>130</v>
      </c>
      <c r="H1855" s="5" t="s">
        <v>20</v>
      </c>
      <c r="I1855" s="5" t="s">
        <v>4678</v>
      </c>
      <c r="J1855" s="12" t="str">
        <f>HYPERLINK("https://www.boe.es/gazeta/dias/1807/02/03/pdfs/GMD-1807-12.pdf#page=2","Abrir facsímil")</f>
        <v>Abrir facsímil</v>
      </c>
      <c r="K1855" s="15" t="s">
        <v>22</v>
      </c>
    </row>
    <row r="1856" spans="1:11" ht="42" customHeight="1">
      <c r="A1856" s="4" t="s">
        <v>4679</v>
      </c>
      <c r="B1856" s="5" t="s">
        <v>4679</v>
      </c>
      <c r="C1856" s="5" t="s">
        <v>49</v>
      </c>
      <c r="D1856" s="5" t="s">
        <v>50</v>
      </c>
      <c r="E1856" s="5" t="s">
        <v>406</v>
      </c>
      <c r="F1856" s="9">
        <v>82</v>
      </c>
      <c r="G1856" s="9">
        <v>952</v>
      </c>
      <c r="H1856" s="5" t="s">
        <v>20</v>
      </c>
      <c r="I1856" s="5" t="s">
        <v>4680</v>
      </c>
      <c r="J1856" s="12" t="str">
        <f>HYPERLINK("https://www.boe.es/gazeta/dias/1807/09/15/pdfs/GMD-1807-82.pdf#page=4","Abrir facsímil")</f>
        <v>Abrir facsímil</v>
      </c>
      <c r="K1856" s="15" t="s">
        <v>22</v>
      </c>
    </row>
    <row r="1857" spans="1:11" ht="42" customHeight="1">
      <c r="A1857" s="4" t="s">
        <v>4681</v>
      </c>
      <c r="B1857" s="5" t="s">
        <v>4681</v>
      </c>
      <c r="C1857" s="5" t="s">
        <v>28</v>
      </c>
      <c r="D1857" s="5" t="s">
        <v>29</v>
      </c>
      <c r="E1857" s="5" t="s">
        <v>215</v>
      </c>
      <c r="F1857" s="9">
        <v>5</v>
      </c>
      <c r="G1857" s="9">
        <v>50</v>
      </c>
      <c r="H1857" s="5" t="s">
        <v>20</v>
      </c>
      <c r="I1857" s="5" t="s">
        <v>4682</v>
      </c>
      <c r="J1857" s="12" t="str">
        <f>HYPERLINK("https://www.boe.es/gazeta/dias/1807/01/16/pdfs/GMD-1807-5.pdf#page=6","Abrir facsímil")</f>
        <v>Abrir facsímil</v>
      </c>
      <c r="K1857" s="15" t="s">
        <v>22</v>
      </c>
    </row>
    <row r="1858" spans="1:11" ht="42" customHeight="1">
      <c r="A1858" s="4" t="s">
        <v>4683</v>
      </c>
      <c r="B1858" s="5" t="s">
        <v>4683</v>
      </c>
      <c r="C1858" s="5" t="s">
        <v>49</v>
      </c>
      <c r="D1858" s="5" t="s">
        <v>50</v>
      </c>
      <c r="E1858" s="5" t="s">
        <v>461</v>
      </c>
      <c r="F1858" s="9">
        <v>99</v>
      </c>
      <c r="G1858" s="9">
        <v>1150</v>
      </c>
      <c r="H1858" s="5" t="s">
        <v>20</v>
      </c>
      <c r="I1858" s="5" t="s">
        <v>4684</v>
      </c>
      <c r="J1858" s="12" t="str">
        <f>HYPERLINK("https://www.boe.es/gazeta/dias/1807/11/06/pdfs/GMD-1807-99.pdf#page=6","Abrir facsímil")</f>
        <v>Abrir facsímil</v>
      </c>
      <c r="K1858" s="15" t="s">
        <v>22</v>
      </c>
    </row>
    <row r="1859" spans="1:11" ht="42" customHeight="1">
      <c r="A1859" s="4" t="s">
        <v>4685</v>
      </c>
      <c r="B1859" s="5" t="s">
        <v>4685</v>
      </c>
      <c r="C1859" s="5" t="s">
        <v>252</v>
      </c>
      <c r="D1859" s="5" t="s">
        <v>253</v>
      </c>
      <c r="E1859" s="5" t="s">
        <v>4686</v>
      </c>
      <c r="F1859" s="9" t="s">
        <v>4687</v>
      </c>
      <c r="G1859" s="9">
        <v>712</v>
      </c>
      <c r="H1859" s="5" t="s">
        <v>20</v>
      </c>
      <c r="I1859" s="5" t="s">
        <v>4688</v>
      </c>
      <c r="J1859" s="12" t="str">
        <f>HYPERLINK("https://www.boe.es/gazeta/dias/1807/07/13/pdfs/GMD-1807-60E.pdf#page=6","Abrir facsímil")</f>
        <v>Abrir facsímil</v>
      </c>
      <c r="K1859" s="15" t="s">
        <v>22</v>
      </c>
    </row>
    <row r="1860" spans="1:11" ht="42" customHeight="1">
      <c r="A1860" s="4" t="s">
        <v>4689</v>
      </c>
      <c r="B1860" s="5" t="s">
        <v>4689</v>
      </c>
      <c r="C1860" s="5" t="s">
        <v>49</v>
      </c>
      <c r="D1860" s="5" t="s">
        <v>50</v>
      </c>
      <c r="E1860" s="5" t="s">
        <v>81</v>
      </c>
      <c r="F1860" s="9">
        <v>49</v>
      </c>
      <c r="G1860" s="9">
        <v>578</v>
      </c>
      <c r="H1860" s="5" t="s">
        <v>20</v>
      </c>
      <c r="I1860" s="5" t="s">
        <v>4690</v>
      </c>
      <c r="J1860" s="12" t="str">
        <f>HYPERLINK("https://www.boe.es/gazeta/dias/1807/06/09/pdfs/GMD-1807-49.pdf#page=4","Abrir facsímil")</f>
        <v>Abrir facsímil</v>
      </c>
      <c r="K1860" s="15" t="s">
        <v>22</v>
      </c>
    </row>
    <row r="1861" spans="1:11" ht="42" customHeight="1">
      <c r="A1861" s="4" t="s">
        <v>4691</v>
      </c>
      <c r="B1861" s="5" t="s">
        <v>4691</v>
      </c>
      <c r="C1861" s="5" t="s">
        <v>49</v>
      </c>
      <c r="D1861" s="5" t="s">
        <v>50</v>
      </c>
      <c r="E1861" s="5" t="s">
        <v>666</v>
      </c>
      <c r="F1861" s="9">
        <v>43</v>
      </c>
      <c r="G1861" s="9">
        <v>510</v>
      </c>
      <c r="H1861" s="5" t="s">
        <v>20</v>
      </c>
      <c r="I1861" s="5" t="s">
        <v>4692</v>
      </c>
      <c r="J1861" s="12" t="str">
        <f>HYPERLINK("https://www.boe.es/gazeta/dias/1807/05/19/pdfs/GMD-1807-43.pdf#page=4","Abrir facsímil")</f>
        <v>Abrir facsímil</v>
      </c>
      <c r="K1861" s="15" t="s">
        <v>22</v>
      </c>
    </row>
    <row r="1862" spans="1:11" ht="42" customHeight="1">
      <c r="A1862" s="4" t="s">
        <v>4693</v>
      </c>
      <c r="B1862" s="5" t="s">
        <v>4693</v>
      </c>
      <c r="C1862" s="5" t="s">
        <v>49</v>
      </c>
      <c r="D1862" s="5" t="s">
        <v>50</v>
      </c>
      <c r="E1862" s="5" t="s">
        <v>418</v>
      </c>
      <c r="F1862" s="9">
        <v>4</v>
      </c>
      <c r="G1862" s="9">
        <v>33</v>
      </c>
      <c r="H1862" s="5" t="s">
        <v>20</v>
      </c>
      <c r="I1862" s="5" t="s">
        <v>4694</v>
      </c>
      <c r="J1862" s="12" t="str">
        <f>HYPERLINK("https://www.boe.es/gazeta/dias/1807/01/13/pdfs/GMD-1807-4.pdf#page=1","Abrir facsímil")</f>
        <v>Abrir facsímil</v>
      </c>
      <c r="K1862" s="15" t="s">
        <v>22</v>
      </c>
    </row>
    <row r="1863" spans="1:11" ht="42" customHeight="1">
      <c r="A1863" s="4" t="s">
        <v>4695</v>
      </c>
      <c r="B1863" s="5" t="s">
        <v>4695</v>
      </c>
      <c r="C1863" s="5" t="s">
        <v>28</v>
      </c>
      <c r="D1863" s="5" t="s">
        <v>29</v>
      </c>
      <c r="E1863" s="5" t="s">
        <v>215</v>
      </c>
      <c r="F1863" s="9">
        <v>5</v>
      </c>
      <c r="G1863" s="9">
        <v>50</v>
      </c>
      <c r="H1863" s="5" t="s">
        <v>20</v>
      </c>
      <c r="I1863" s="5" t="s">
        <v>4682</v>
      </c>
      <c r="J1863" s="12" t="str">
        <f>HYPERLINK("https://www.boe.es/gazeta/dias/1807/01/16/pdfs/GMD-1807-5.pdf#page=6","Abrir facsímil")</f>
        <v>Abrir facsímil</v>
      </c>
      <c r="K1863" s="15" t="s">
        <v>22</v>
      </c>
    </row>
    <row r="1864" spans="1:11" ht="42" customHeight="1">
      <c r="A1864" s="4" t="s">
        <v>4696</v>
      </c>
      <c r="B1864" s="5" t="s">
        <v>4696</v>
      </c>
      <c r="C1864" s="5" t="s">
        <v>34</v>
      </c>
      <c r="D1864" s="5" t="s">
        <v>35</v>
      </c>
      <c r="E1864" s="5" t="s">
        <v>666</v>
      </c>
      <c r="F1864" s="9">
        <v>43</v>
      </c>
      <c r="G1864" s="9">
        <v>508</v>
      </c>
      <c r="H1864" s="5" t="s">
        <v>20</v>
      </c>
      <c r="I1864" s="5" t="s">
        <v>4697</v>
      </c>
      <c r="J1864" s="12" t="str">
        <f>HYPERLINK("https://www.boe.es/gazeta/dias/1807/05/19/pdfs/GMD-1807-43.pdf#page=2","Abrir facsímil")</f>
        <v>Abrir facsímil</v>
      </c>
      <c r="K1864" s="15" t="s">
        <v>22</v>
      </c>
    </row>
    <row r="1865" spans="1:11" ht="42" customHeight="1">
      <c r="A1865" s="4" t="s">
        <v>4698</v>
      </c>
      <c r="B1865" s="5" t="s">
        <v>4698</v>
      </c>
      <c r="C1865" s="5" t="s">
        <v>49</v>
      </c>
      <c r="D1865" s="5" t="s">
        <v>50</v>
      </c>
      <c r="E1865" s="5" t="s">
        <v>1076</v>
      </c>
      <c r="F1865" s="9">
        <v>96</v>
      </c>
      <c r="G1865" s="9">
        <v>1110</v>
      </c>
      <c r="H1865" s="5" t="s">
        <v>20</v>
      </c>
      <c r="I1865" s="5" t="s">
        <v>4699</v>
      </c>
      <c r="J1865" s="12" t="str">
        <f>HYPERLINK("https://www.boe.es/gazeta/dias/1807/10/27/pdfs/GMD-1807-96.pdf#page=2","Abrir facsímil")</f>
        <v>Abrir facsímil</v>
      </c>
      <c r="K1865" s="15" t="s">
        <v>22</v>
      </c>
    </row>
    <row r="1866" spans="1:11" ht="42" customHeight="1">
      <c r="A1866" s="4" t="s">
        <v>4700</v>
      </c>
      <c r="B1866" s="5" t="s">
        <v>4700</v>
      </c>
      <c r="C1866" s="5" t="s">
        <v>49</v>
      </c>
      <c r="D1866" s="5" t="s">
        <v>50</v>
      </c>
      <c r="E1866" s="5" t="s">
        <v>65</v>
      </c>
      <c r="F1866" s="9">
        <v>52</v>
      </c>
      <c r="G1866" s="9">
        <v>619</v>
      </c>
      <c r="H1866" s="5" t="s">
        <v>20</v>
      </c>
      <c r="I1866" s="5" t="s">
        <v>4701</v>
      </c>
      <c r="J1866" s="12" t="str">
        <f>HYPERLINK("https://www.boe.es/gazeta/dias/1807/06/19/pdfs/GMD-1807-52.pdf#page=9","Abrir facsímil")</f>
        <v>Abrir facsímil</v>
      </c>
      <c r="K1866" s="15" t="s">
        <v>22</v>
      </c>
    </row>
    <row r="1867" spans="1:11" ht="42" customHeight="1">
      <c r="A1867" s="4" t="s">
        <v>4702</v>
      </c>
      <c r="B1867" s="5" t="s">
        <v>4702</v>
      </c>
      <c r="C1867" s="5" t="s">
        <v>49</v>
      </c>
      <c r="D1867" s="5" t="s">
        <v>50</v>
      </c>
      <c r="E1867" s="5" t="s">
        <v>561</v>
      </c>
      <c r="F1867" s="9">
        <v>44</v>
      </c>
      <c r="G1867" s="9">
        <v>522</v>
      </c>
      <c r="H1867" s="5" t="s">
        <v>20</v>
      </c>
      <c r="I1867" s="5" t="s">
        <v>4703</v>
      </c>
      <c r="J1867" s="12" t="str">
        <f>HYPERLINK("https://www.boe.es/gazeta/dias/1807/05/22/pdfs/GMD-1807-44.pdf#page=4","Abrir facsímil")</f>
        <v>Abrir facsímil</v>
      </c>
      <c r="K1867" s="15" t="s">
        <v>22</v>
      </c>
    </row>
    <row r="1868" spans="1:11" ht="42" customHeight="1">
      <c r="A1868" s="4" t="s">
        <v>4704</v>
      </c>
      <c r="B1868" s="5" t="s">
        <v>4704</v>
      </c>
      <c r="C1868" s="5" t="s">
        <v>49</v>
      </c>
      <c r="D1868" s="5" t="s">
        <v>50</v>
      </c>
      <c r="E1868" s="5" t="s">
        <v>79</v>
      </c>
      <c r="F1868" s="9">
        <v>11</v>
      </c>
      <c r="G1868" s="9">
        <v>122</v>
      </c>
      <c r="H1868" s="5" t="s">
        <v>20</v>
      </c>
      <c r="I1868" s="5" t="s">
        <v>4705</v>
      </c>
      <c r="J1868" s="12" t="str">
        <f>HYPERLINK("https://www.boe.es/gazeta/dias/1807/01/30/pdfs/GMD-1807-11.pdf#page=6","Abrir facsímil")</f>
        <v>Abrir facsímil</v>
      </c>
      <c r="K1868" s="15" t="s">
        <v>22</v>
      </c>
    </row>
    <row r="1869" spans="1:11" ht="42" customHeight="1">
      <c r="A1869" s="4" t="s">
        <v>4706</v>
      </c>
      <c r="B1869" s="5" t="s">
        <v>4706</v>
      </c>
      <c r="C1869" s="5" t="s">
        <v>49</v>
      </c>
      <c r="D1869" s="5" t="s">
        <v>50</v>
      </c>
      <c r="E1869" s="5" t="s">
        <v>654</v>
      </c>
      <c r="F1869" s="9">
        <v>94</v>
      </c>
      <c r="G1869" s="9">
        <v>1089</v>
      </c>
      <c r="H1869" s="5" t="s">
        <v>20</v>
      </c>
      <c r="I1869" s="5" t="s">
        <v>4673</v>
      </c>
      <c r="J1869" s="12" t="str">
        <f>HYPERLINK("https://www.boe.es/gazeta/dias/1807/10/20/pdfs/GMD-1807-94.pdf#page=5","Abrir facsímil")</f>
        <v>Abrir facsímil</v>
      </c>
      <c r="K1869" s="15" t="s">
        <v>22</v>
      </c>
    </row>
    <row r="1870" spans="1:11" ht="42" customHeight="1">
      <c r="A1870" s="4" t="s">
        <v>4707</v>
      </c>
      <c r="B1870" s="5" t="s">
        <v>4707</v>
      </c>
      <c r="C1870" s="5" t="s">
        <v>49</v>
      </c>
      <c r="D1870" s="5" t="s">
        <v>50</v>
      </c>
      <c r="E1870" s="5" t="s">
        <v>390</v>
      </c>
      <c r="F1870" s="9">
        <v>24</v>
      </c>
      <c r="G1870" s="9">
        <v>283</v>
      </c>
      <c r="H1870" s="5" t="s">
        <v>20</v>
      </c>
      <c r="I1870" s="5" t="s">
        <v>4708</v>
      </c>
      <c r="J1870" s="12" t="str">
        <f>HYPERLINK("https://www.boe.es/gazeta/dias/1807/03/13/pdfs/GMD-1807-24.pdf#page=7","Abrir facsímil")</f>
        <v>Abrir facsímil</v>
      </c>
      <c r="K1870" s="15" t="s">
        <v>22</v>
      </c>
    </row>
    <row r="1871" spans="1:11" ht="42" customHeight="1">
      <c r="A1871" s="4" t="s">
        <v>4709</v>
      </c>
      <c r="B1871" s="5" t="s">
        <v>4709</v>
      </c>
      <c r="C1871" s="5" t="s">
        <v>252</v>
      </c>
      <c r="D1871" s="5" t="s">
        <v>253</v>
      </c>
      <c r="E1871" s="5" t="s">
        <v>4686</v>
      </c>
      <c r="F1871" s="9" t="s">
        <v>4687</v>
      </c>
      <c r="G1871" s="9">
        <v>707</v>
      </c>
      <c r="H1871" s="5" t="s">
        <v>20</v>
      </c>
      <c r="I1871" s="5" t="s">
        <v>4710</v>
      </c>
      <c r="J1871" s="12" t="str">
        <f>HYPERLINK("https://www.boe.es/gazeta/dias/1807/07/13/pdfs/GMD-1807-60E.pdf#page=1","Abrir facsímil")</f>
        <v>Abrir facsímil</v>
      </c>
      <c r="K1871" s="15" t="s">
        <v>22</v>
      </c>
    </row>
    <row r="1872" spans="1:11" ht="42" customHeight="1">
      <c r="A1872" s="4" t="s">
        <v>4711</v>
      </c>
      <c r="B1872" s="5" t="s">
        <v>4711</v>
      </c>
      <c r="C1872" s="5" t="s">
        <v>49</v>
      </c>
      <c r="D1872" s="5" t="s">
        <v>50</v>
      </c>
      <c r="E1872" s="5" t="s">
        <v>241</v>
      </c>
      <c r="F1872" s="9">
        <v>76</v>
      </c>
      <c r="G1872" s="9">
        <v>877</v>
      </c>
      <c r="H1872" s="5" t="s">
        <v>20</v>
      </c>
      <c r="I1872" s="5" t="s">
        <v>4712</v>
      </c>
      <c r="J1872" s="12" t="str">
        <f>HYPERLINK("https://www.boe.es/gazeta/dias/1807/08/25/pdfs/GMD-1807-76.pdf#page=5","Abrir facsímil")</f>
        <v>Abrir facsímil</v>
      </c>
      <c r="K1872" s="15" t="s">
        <v>22</v>
      </c>
    </row>
    <row r="1873" spans="1:11" ht="42" customHeight="1">
      <c r="A1873" s="4" t="s">
        <v>4713</v>
      </c>
      <c r="B1873" s="5" t="s">
        <v>4713</v>
      </c>
      <c r="C1873" s="5" t="s">
        <v>34</v>
      </c>
      <c r="D1873" s="5" t="s">
        <v>35</v>
      </c>
      <c r="E1873" s="5" t="s">
        <v>461</v>
      </c>
      <c r="F1873" s="9">
        <v>99</v>
      </c>
      <c r="G1873" s="9">
        <v>1152</v>
      </c>
      <c r="H1873" s="5" t="s">
        <v>20</v>
      </c>
      <c r="I1873" s="5" t="s">
        <v>4714</v>
      </c>
      <c r="J1873" s="12" t="str">
        <f>HYPERLINK("https://www.boe.es/gazeta/dias/1807/11/06/pdfs/GMD-1807-99.pdf#page=8","Abrir facsímil")</f>
        <v>Abrir facsímil</v>
      </c>
      <c r="K1873" s="15" t="s">
        <v>22</v>
      </c>
    </row>
    <row r="1874" spans="1:11" ht="42" customHeight="1">
      <c r="A1874" s="4" t="s">
        <v>4715</v>
      </c>
      <c r="B1874" s="5" t="s">
        <v>4715</v>
      </c>
      <c r="C1874" s="5" t="s">
        <v>28</v>
      </c>
      <c r="D1874" s="5" t="s">
        <v>29</v>
      </c>
      <c r="E1874" s="5" t="s">
        <v>259</v>
      </c>
      <c r="F1874" s="9">
        <v>3</v>
      </c>
      <c r="G1874" s="9">
        <v>26</v>
      </c>
      <c r="H1874" s="5" t="s">
        <v>20</v>
      </c>
      <c r="I1874" s="5" t="s">
        <v>4716</v>
      </c>
      <c r="J1874" s="12" t="str">
        <f>HYPERLINK("https://www.boe.es/gazeta/dias/1807/01/09/pdfs/GMD-1807-3.pdf#page=6","Abrir facsímil")</f>
        <v>Abrir facsímil</v>
      </c>
      <c r="K1874" s="15" t="s">
        <v>22</v>
      </c>
    </row>
    <row r="1875" spans="1:11" ht="42" customHeight="1">
      <c r="A1875" s="4" t="s">
        <v>4717</v>
      </c>
      <c r="B1875" s="5" t="s">
        <v>4717</v>
      </c>
      <c r="C1875" s="5" t="s">
        <v>34</v>
      </c>
      <c r="D1875" s="5" t="s">
        <v>35</v>
      </c>
      <c r="E1875" s="5" t="s">
        <v>686</v>
      </c>
      <c r="F1875" s="9">
        <v>106</v>
      </c>
      <c r="G1875" s="9">
        <v>1238</v>
      </c>
      <c r="H1875" s="5" t="s">
        <v>20</v>
      </c>
      <c r="I1875" s="5" t="s">
        <v>4718</v>
      </c>
      <c r="J1875" s="12" t="str">
        <f>HYPERLINK("https://www.boe.es/gazeta/dias/1807/11/27/pdfs/GMD-1807-106.pdf#page=10","Abrir facsímil")</f>
        <v>Abrir facsímil</v>
      </c>
      <c r="K1875" s="15" t="s">
        <v>22</v>
      </c>
    </row>
    <row r="1876" spans="1:11" ht="42" customHeight="1">
      <c r="A1876" s="4" t="s">
        <v>4719</v>
      </c>
      <c r="B1876" s="5" t="s">
        <v>4719</v>
      </c>
      <c r="C1876" s="5" t="s">
        <v>49</v>
      </c>
      <c r="D1876" s="5" t="s">
        <v>50</v>
      </c>
      <c r="E1876" s="5" t="s">
        <v>572</v>
      </c>
      <c r="F1876" s="9">
        <v>14</v>
      </c>
      <c r="G1876" s="9">
        <v>155</v>
      </c>
      <c r="H1876" s="5" t="s">
        <v>20</v>
      </c>
      <c r="I1876" s="5" t="s">
        <v>4720</v>
      </c>
      <c r="J1876" s="12" t="str">
        <f>HYPERLINK("https://www.boe.es/gazeta/dias/1807/02/10/pdfs/GMD-1807-14.pdf#page=3","Abrir facsímil")</f>
        <v>Abrir facsímil</v>
      </c>
      <c r="K1876" s="15" t="s">
        <v>22</v>
      </c>
    </row>
    <row r="1877" spans="1:11" ht="42" customHeight="1">
      <c r="A1877" s="4" t="s">
        <v>4719</v>
      </c>
      <c r="B1877" s="5" t="s">
        <v>4719</v>
      </c>
      <c r="C1877" s="5" t="s">
        <v>49</v>
      </c>
      <c r="D1877" s="5" t="s">
        <v>50</v>
      </c>
      <c r="E1877" s="5" t="s">
        <v>464</v>
      </c>
      <c r="F1877" s="9">
        <v>18</v>
      </c>
      <c r="G1877" s="9">
        <v>208</v>
      </c>
      <c r="H1877" s="5" t="s">
        <v>20</v>
      </c>
      <c r="I1877" s="5" t="s">
        <v>4721</v>
      </c>
      <c r="J1877" s="12" t="str">
        <f>HYPERLINK("https://www.boe.es/gazeta/dias/1807/02/24/pdfs/GMD-1807-18.pdf#page=8","Abrir facsímil")</f>
        <v>Abrir facsímil</v>
      </c>
      <c r="K1877" s="15" t="s">
        <v>22</v>
      </c>
    </row>
    <row r="1878" spans="1:11" ht="42" customHeight="1">
      <c r="A1878" s="4" t="s">
        <v>4722</v>
      </c>
      <c r="B1878" s="5" t="s">
        <v>4722</v>
      </c>
      <c r="C1878" s="5" t="s">
        <v>34</v>
      </c>
      <c r="D1878" s="5" t="s">
        <v>35</v>
      </c>
      <c r="E1878" s="5" t="s">
        <v>666</v>
      </c>
      <c r="F1878" s="9">
        <v>43</v>
      </c>
      <c r="G1878" s="9">
        <v>508</v>
      </c>
      <c r="H1878" s="5" t="s">
        <v>20</v>
      </c>
      <c r="I1878" s="5" t="s">
        <v>4697</v>
      </c>
      <c r="J1878" s="12" t="str">
        <f>HYPERLINK("https://www.boe.es/gazeta/dias/1807/05/19/pdfs/GMD-1807-43.pdf#page=2","Abrir facsímil")</f>
        <v>Abrir facsímil</v>
      </c>
      <c r="K1878" s="15" t="s">
        <v>22</v>
      </c>
    </row>
    <row r="1879" spans="1:11" ht="42" customHeight="1">
      <c r="A1879" s="4" t="s">
        <v>4723</v>
      </c>
      <c r="B1879" s="5" t="s">
        <v>4723</v>
      </c>
      <c r="C1879" s="5" t="s">
        <v>34</v>
      </c>
      <c r="D1879" s="5" t="s">
        <v>35</v>
      </c>
      <c r="E1879" s="5" t="s">
        <v>534</v>
      </c>
      <c r="F1879" s="9" t="s">
        <v>535</v>
      </c>
      <c r="G1879" s="9">
        <v>98</v>
      </c>
      <c r="H1879" s="5" t="s">
        <v>20</v>
      </c>
      <c r="I1879" s="5" t="s">
        <v>4724</v>
      </c>
      <c r="J1879" s="12" t="str">
        <f>HYPERLINK("https://www.boe.es/gazeta/dias/1807/01/24/pdfs/GMD-1807-9E.pdf#page=2","Abrir facsímil")</f>
        <v>Abrir facsímil</v>
      </c>
      <c r="K1879" s="15" t="s">
        <v>22</v>
      </c>
    </row>
    <row r="1880" spans="1:11" ht="42" customHeight="1">
      <c r="A1880" s="4" t="s">
        <v>4725</v>
      </c>
      <c r="B1880" s="5" t="s">
        <v>4725</v>
      </c>
      <c r="C1880" s="5" t="s">
        <v>34</v>
      </c>
      <c r="D1880" s="5" t="s">
        <v>35</v>
      </c>
      <c r="E1880" s="5" t="s">
        <v>461</v>
      </c>
      <c r="F1880" s="9">
        <v>99</v>
      </c>
      <c r="G1880" s="9">
        <v>1152</v>
      </c>
      <c r="H1880" s="5" t="s">
        <v>20</v>
      </c>
      <c r="I1880" s="5" t="s">
        <v>4714</v>
      </c>
      <c r="J1880" s="12" t="str">
        <f>HYPERLINK("https://www.boe.es/gazeta/dias/1807/11/06/pdfs/GMD-1807-99.pdf#page=8","Abrir facsímil")</f>
        <v>Abrir facsímil</v>
      </c>
      <c r="K1880" s="15" t="s">
        <v>22</v>
      </c>
    </row>
    <row r="1881" spans="1:11" ht="42" customHeight="1">
      <c r="A1881" s="4" t="s">
        <v>4726</v>
      </c>
      <c r="B1881" s="5" t="s">
        <v>4726</v>
      </c>
      <c r="C1881" s="5" t="s">
        <v>49</v>
      </c>
      <c r="D1881" s="5" t="s">
        <v>50</v>
      </c>
      <c r="E1881" s="5" t="s">
        <v>2914</v>
      </c>
      <c r="F1881" s="9">
        <v>29</v>
      </c>
      <c r="G1881" s="9">
        <v>343</v>
      </c>
      <c r="H1881" s="5" t="s">
        <v>20</v>
      </c>
      <c r="I1881" s="5" t="s">
        <v>4676</v>
      </c>
      <c r="J1881" s="12" t="str">
        <f>HYPERLINK("https://www.boe.es/gazeta/dias/1807/03/31/pdfs/GMD-1807-29.pdf#page=7","Abrir facsímil")</f>
        <v>Abrir facsímil</v>
      </c>
      <c r="K1881" s="15" t="s">
        <v>22</v>
      </c>
    </row>
    <row r="1882" spans="1:11" ht="42" customHeight="1">
      <c r="A1882" s="4" t="s">
        <v>4727</v>
      </c>
      <c r="B1882" s="5" t="s">
        <v>4727</v>
      </c>
      <c r="C1882" s="5" t="s">
        <v>252</v>
      </c>
      <c r="D1882" s="5" t="s">
        <v>253</v>
      </c>
      <c r="E1882" s="5" t="s">
        <v>1959</v>
      </c>
      <c r="F1882" s="9" t="s">
        <v>1960</v>
      </c>
      <c r="G1882" s="9">
        <v>737</v>
      </c>
      <c r="H1882" s="5" t="s">
        <v>20</v>
      </c>
      <c r="I1882" s="5" t="s">
        <v>4728</v>
      </c>
      <c r="J1882" s="12" t="str">
        <f>HYPERLINK("https://www.boe.es/gazeta/dias/1807/07/18/pdfs/GMD-1807-63E.pdf#page=3","Abrir facsímil")</f>
        <v>Abrir facsímil</v>
      </c>
      <c r="K1882" s="15" t="s">
        <v>22</v>
      </c>
    </row>
    <row r="1883" spans="1:11" ht="42" customHeight="1">
      <c r="A1883" s="4" t="s">
        <v>4729</v>
      </c>
      <c r="B1883" s="5" t="s">
        <v>4729</v>
      </c>
      <c r="C1883" s="5" t="s">
        <v>34</v>
      </c>
      <c r="D1883" s="5" t="s">
        <v>35</v>
      </c>
      <c r="E1883" s="5" t="s">
        <v>406</v>
      </c>
      <c r="F1883" s="9">
        <v>82</v>
      </c>
      <c r="G1883" s="9">
        <v>952</v>
      </c>
      <c r="H1883" s="5" t="s">
        <v>20</v>
      </c>
      <c r="I1883" s="5" t="s">
        <v>4730</v>
      </c>
      <c r="J1883" s="12" t="str">
        <f>HYPERLINK("https://www.boe.es/gazeta/dias/1807/09/15/pdfs/GMD-1807-82.pdf#page=4","Abrir facsímil")</f>
        <v>Abrir facsímil</v>
      </c>
      <c r="K1883" s="15" t="s">
        <v>22</v>
      </c>
    </row>
    <row r="1884" spans="1:11" ht="42" customHeight="1">
      <c r="A1884" s="4" t="s">
        <v>4731</v>
      </c>
      <c r="B1884" s="5" t="s">
        <v>4731</v>
      </c>
      <c r="C1884" s="5" t="s">
        <v>49</v>
      </c>
      <c r="D1884" s="5" t="s">
        <v>50</v>
      </c>
      <c r="E1884" s="5" t="s">
        <v>1076</v>
      </c>
      <c r="F1884" s="9">
        <v>96</v>
      </c>
      <c r="G1884" s="9">
        <v>1110</v>
      </c>
      <c r="H1884" s="5" t="s">
        <v>20</v>
      </c>
      <c r="I1884" s="5" t="s">
        <v>4699</v>
      </c>
      <c r="J1884" s="12" t="str">
        <f>HYPERLINK("https://www.boe.es/gazeta/dias/1807/10/27/pdfs/GMD-1807-96.pdf#page=2","Abrir facsímil")</f>
        <v>Abrir facsímil</v>
      </c>
      <c r="K1884" s="15" t="s">
        <v>22</v>
      </c>
    </row>
    <row r="1885" spans="1:11" ht="42" customHeight="1">
      <c r="A1885" s="4" t="s">
        <v>4732</v>
      </c>
      <c r="B1885" s="5" t="s">
        <v>4732</v>
      </c>
      <c r="C1885" s="5" t="s">
        <v>49</v>
      </c>
      <c r="D1885" s="5" t="s">
        <v>50</v>
      </c>
      <c r="E1885" s="5" t="s">
        <v>1076</v>
      </c>
      <c r="F1885" s="9">
        <v>96</v>
      </c>
      <c r="G1885" s="9">
        <v>1112</v>
      </c>
      <c r="H1885" s="5" t="s">
        <v>20</v>
      </c>
      <c r="I1885" s="5" t="s">
        <v>4674</v>
      </c>
      <c r="J1885" s="12" t="str">
        <f>HYPERLINK("https://www.boe.es/gazeta/dias/1807/10/27/pdfs/GMD-1807-96.pdf#page=4","Abrir facsímil")</f>
        <v>Abrir facsímil</v>
      </c>
      <c r="K1885" s="15" t="s">
        <v>22</v>
      </c>
    </row>
    <row r="1886" spans="1:11" ht="42" customHeight="1">
      <c r="A1886" s="4" t="s">
        <v>4733</v>
      </c>
      <c r="B1886" s="5" t="s">
        <v>4733</v>
      </c>
      <c r="C1886" s="5" t="s">
        <v>89</v>
      </c>
      <c r="D1886" s="5" t="s">
        <v>90</v>
      </c>
      <c r="E1886" s="5" t="s">
        <v>1187</v>
      </c>
      <c r="F1886" s="9" t="s">
        <v>1188</v>
      </c>
      <c r="G1886" s="9">
        <v>680</v>
      </c>
      <c r="H1886" s="5" t="s">
        <v>20</v>
      </c>
      <c r="I1886" s="5" t="s">
        <v>4734</v>
      </c>
      <c r="J1886" s="12" t="str">
        <f>HYPERLINK("https://www.boe.es/gazeta/dias/1807/07/04/pdfs/GMD-1807-57E.pdf#page=6","Abrir facsímil")</f>
        <v>Abrir facsímil</v>
      </c>
      <c r="K1886" s="15" t="s">
        <v>22</v>
      </c>
    </row>
    <row r="1887" spans="1:11" ht="42" customHeight="1">
      <c r="A1887" s="4" t="s">
        <v>4735</v>
      </c>
      <c r="B1887" s="5" t="s">
        <v>4735</v>
      </c>
      <c r="C1887" s="5" t="s">
        <v>49</v>
      </c>
      <c r="D1887" s="5" t="s">
        <v>50</v>
      </c>
      <c r="E1887" s="5" t="s">
        <v>406</v>
      </c>
      <c r="F1887" s="9">
        <v>82</v>
      </c>
      <c r="G1887" s="9">
        <v>952</v>
      </c>
      <c r="H1887" s="5" t="s">
        <v>20</v>
      </c>
      <c r="I1887" s="5" t="s">
        <v>4680</v>
      </c>
      <c r="J1887" s="12" t="str">
        <f>HYPERLINK("https://www.boe.es/gazeta/dias/1807/09/15/pdfs/GMD-1807-82.pdf#page=4","Abrir facsímil")</f>
        <v>Abrir facsímil</v>
      </c>
      <c r="K1887" s="15" t="s">
        <v>22</v>
      </c>
    </row>
    <row r="1888" spans="1:11" ht="42" customHeight="1">
      <c r="A1888" s="4" t="s">
        <v>4736</v>
      </c>
      <c r="B1888" s="5" t="s">
        <v>4736</v>
      </c>
      <c r="C1888" s="5" t="s">
        <v>49</v>
      </c>
      <c r="D1888" s="5" t="s">
        <v>50</v>
      </c>
      <c r="E1888" s="5" t="s">
        <v>53</v>
      </c>
      <c r="F1888" s="9">
        <v>64</v>
      </c>
      <c r="G1888" s="9">
        <v>740</v>
      </c>
      <c r="H1888" s="5" t="s">
        <v>20</v>
      </c>
      <c r="I1888" s="5" t="s">
        <v>4737</v>
      </c>
      <c r="J1888" s="12" t="str">
        <f>HYPERLINK("https://www.boe.es/gazeta/dias/1807/07/21/pdfs/GMD-1807-64.pdf#page=2","Abrir facsímil")</f>
        <v>Abrir facsímil</v>
      </c>
      <c r="K1888" s="15" t="s">
        <v>22</v>
      </c>
    </row>
    <row r="1889" spans="1:11" ht="42" customHeight="1">
      <c r="A1889" s="4" t="s">
        <v>4738</v>
      </c>
      <c r="B1889" s="5" t="s">
        <v>4738</v>
      </c>
      <c r="C1889" s="5" t="s">
        <v>49</v>
      </c>
      <c r="D1889" s="5" t="s">
        <v>50</v>
      </c>
      <c r="E1889" s="5" t="s">
        <v>666</v>
      </c>
      <c r="F1889" s="9">
        <v>43</v>
      </c>
      <c r="G1889" s="9">
        <v>510</v>
      </c>
      <c r="H1889" s="5" t="s">
        <v>20</v>
      </c>
      <c r="I1889" s="5" t="s">
        <v>4692</v>
      </c>
      <c r="J1889" s="12" t="str">
        <f>HYPERLINK("https://www.boe.es/gazeta/dias/1807/05/19/pdfs/GMD-1807-43.pdf#page=4","Abrir facsímil")</f>
        <v>Abrir facsímil</v>
      </c>
      <c r="K1889" s="15" t="s">
        <v>22</v>
      </c>
    </row>
    <row r="1890" spans="1:11" ht="42" customHeight="1">
      <c r="A1890" s="4" t="s">
        <v>4739</v>
      </c>
      <c r="B1890" s="5" t="s">
        <v>4739</v>
      </c>
      <c r="C1890" s="5" t="s">
        <v>28</v>
      </c>
      <c r="D1890" s="5" t="s">
        <v>29</v>
      </c>
      <c r="E1890" s="5" t="s">
        <v>186</v>
      </c>
      <c r="F1890" s="9">
        <v>72</v>
      </c>
      <c r="G1890" s="9">
        <v>827</v>
      </c>
      <c r="H1890" s="5" t="s">
        <v>20</v>
      </c>
      <c r="I1890" s="5" t="s">
        <v>4740</v>
      </c>
      <c r="J1890" s="12" t="str">
        <f>HYPERLINK("https://www.boe.es/gazeta/dias/1807/08/11/pdfs/GMD-1807-72.pdf#page=7","Abrir facsímil")</f>
        <v>Abrir facsímil</v>
      </c>
      <c r="K1890" s="15" t="s">
        <v>22</v>
      </c>
    </row>
    <row r="1891" spans="1:11" ht="42" customHeight="1">
      <c r="A1891" s="4" t="s">
        <v>4741</v>
      </c>
      <c r="B1891" s="5" t="s">
        <v>4741</v>
      </c>
      <c r="C1891" s="5" t="s">
        <v>49</v>
      </c>
      <c r="D1891" s="5" t="s">
        <v>50</v>
      </c>
      <c r="E1891" s="5" t="s">
        <v>86</v>
      </c>
      <c r="F1891" s="9">
        <v>12</v>
      </c>
      <c r="G1891" s="9">
        <v>130</v>
      </c>
      <c r="H1891" s="5" t="s">
        <v>20</v>
      </c>
      <c r="I1891" s="5" t="s">
        <v>4742</v>
      </c>
      <c r="J1891" s="12" t="str">
        <f>HYPERLINK("https://www.boe.es/gazeta/dias/1807/02/03/pdfs/GMD-1807-12.pdf#page=2","Abrir facsímil")</f>
        <v>Abrir facsímil</v>
      </c>
      <c r="K1891" s="15" t="s">
        <v>22</v>
      </c>
    </row>
    <row r="1892" spans="1:11" ht="42" customHeight="1">
      <c r="A1892" s="4" t="s">
        <v>4743</v>
      </c>
      <c r="B1892" s="5" t="s">
        <v>4743</v>
      </c>
      <c r="C1892" s="5" t="s">
        <v>49</v>
      </c>
      <c r="D1892" s="5" t="s">
        <v>50</v>
      </c>
      <c r="E1892" s="5" t="s">
        <v>461</v>
      </c>
      <c r="F1892" s="9">
        <v>99</v>
      </c>
      <c r="G1892" s="9">
        <v>1150</v>
      </c>
      <c r="H1892" s="5" t="s">
        <v>20</v>
      </c>
      <c r="I1892" s="5" t="s">
        <v>4684</v>
      </c>
      <c r="J1892" s="12" t="str">
        <f>HYPERLINK("https://www.boe.es/gazeta/dias/1807/11/06/pdfs/GMD-1807-99.pdf#page=6","Abrir facsímil")</f>
        <v>Abrir facsímil</v>
      </c>
      <c r="K1892" s="15" t="s">
        <v>22</v>
      </c>
    </row>
    <row r="1893" spans="1:11" ht="42" customHeight="1">
      <c r="A1893" s="4" t="s">
        <v>4744</v>
      </c>
      <c r="B1893" s="5" t="s">
        <v>4744</v>
      </c>
      <c r="C1893" s="5" t="s">
        <v>49</v>
      </c>
      <c r="D1893" s="5" t="s">
        <v>50</v>
      </c>
      <c r="E1893" s="5" t="s">
        <v>572</v>
      </c>
      <c r="F1893" s="9">
        <v>14</v>
      </c>
      <c r="G1893" s="9">
        <v>159</v>
      </c>
      <c r="H1893" s="5" t="s">
        <v>20</v>
      </c>
      <c r="I1893" s="5" t="s">
        <v>4745</v>
      </c>
      <c r="J1893" s="12" t="str">
        <f>HYPERLINK("https://www.boe.es/gazeta/dias/1807/02/10/pdfs/GMD-1807-14.pdf#page=7","Abrir facsímil")</f>
        <v>Abrir facsímil</v>
      </c>
      <c r="K1893" s="15" t="s">
        <v>22</v>
      </c>
    </row>
    <row r="1894" spans="1:11" ht="42" customHeight="1">
      <c r="A1894" s="4" t="s">
        <v>4746</v>
      </c>
      <c r="B1894" s="5" t="s">
        <v>4746</v>
      </c>
      <c r="C1894" s="5" t="s">
        <v>49</v>
      </c>
      <c r="D1894" s="5" t="s">
        <v>50</v>
      </c>
      <c r="E1894" s="5" t="s">
        <v>40</v>
      </c>
      <c r="F1894" s="9">
        <v>26</v>
      </c>
      <c r="G1894" s="9">
        <v>309</v>
      </c>
      <c r="H1894" s="5" t="s">
        <v>20</v>
      </c>
      <c r="I1894" s="5" t="s">
        <v>4747</v>
      </c>
      <c r="J1894" s="12" t="str">
        <f>HYPERLINK("https://www.boe.es/gazeta/dias/1807/03/20/pdfs/GMD-1807-26.pdf#page=5","Abrir facsímil")</f>
        <v>Abrir facsímil</v>
      </c>
      <c r="K1894" s="15" t="s">
        <v>22</v>
      </c>
    </row>
    <row r="1895" spans="1:11" ht="42" customHeight="1">
      <c r="A1895" s="4" t="s">
        <v>4748</v>
      </c>
      <c r="B1895" s="5" t="s">
        <v>4748</v>
      </c>
      <c r="C1895" s="5" t="s">
        <v>89</v>
      </c>
      <c r="D1895" s="5" t="s">
        <v>90</v>
      </c>
      <c r="E1895" s="5" t="s">
        <v>1187</v>
      </c>
      <c r="F1895" s="9" t="s">
        <v>1188</v>
      </c>
      <c r="G1895" s="9">
        <v>680</v>
      </c>
      <c r="H1895" s="5" t="s">
        <v>20</v>
      </c>
      <c r="I1895" s="5" t="s">
        <v>4734</v>
      </c>
      <c r="J1895" s="12" t="str">
        <f>HYPERLINK("https://www.boe.es/gazeta/dias/1807/07/04/pdfs/GMD-1807-57E.pdf#page=6","Abrir facsímil")</f>
        <v>Abrir facsímil</v>
      </c>
      <c r="K1895" s="15" t="s">
        <v>22</v>
      </c>
    </row>
    <row r="1896" spans="1:11" ht="42" customHeight="1">
      <c r="A1896" s="4" t="s">
        <v>4749</v>
      </c>
      <c r="B1896" s="5" t="s">
        <v>4749</v>
      </c>
      <c r="C1896" s="5" t="s">
        <v>252</v>
      </c>
      <c r="D1896" s="5" t="s">
        <v>253</v>
      </c>
      <c r="E1896" s="5" t="s">
        <v>1187</v>
      </c>
      <c r="F1896" s="9" t="s">
        <v>1188</v>
      </c>
      <c r="G1896" s="9">
        <v>678</v>
      </c>
      <c r="H1896" s="5" t="s">
        <v>20</v>
      </c>
      <c r="I1896" s="5" t="s">
        <v>4750</v>
      </c>
      <c r="J1896" s="12" t="str">
        <f>HYPERLINK("https://www.boe.es/gazeta/dias/1807/07/04/pdfs/GMD-1807-57E.pdf#page=4","Abrir facsímil")</f>
        <v>Abrir facsímil</v>
      </c>
      <c r="K1896" s="15" t="s">
        <v>22</v>
      </c>
    </row>
    <row r="1897" spans="1:11" ht="42" customHeight="1">
      <c r="A1897" s="4" t="s">
        <v>4751</v>
      </c>
      <c r="B1897" s="5" t="s">
        <v>4751</v>
      </c>
      <c r="C1897" s="5" t="s">
        <v>49</v>
      </c>
      <c r="D1897" s="5" t="s">
        <v>50</v>
      </c>
      <c r="E1897" s="5" t="s">
        <v>561</v>
      </c>
      <c r="F1897" s="9">
        <v>44</v>
      </c>
      <c r="G1897" s="9">
        <v>522</v>
      </c>
      <c r="H1897" s="5" t="s">
        <v>20</v>
      </c>
      <c r="I1897" s="5" t="s">
        <v>4703</v>
      </c>
      <c r="J1897" s="12" t="str">
        <f>HYPERLINK("https://www.boe.es/gazeta/dias/1807/05/22/pdfs/GMD-1807-44.pdf#page=4","Abrir facsímil")</f>
        <v>Abrir facsímil</v>
      </c>
      <c r="K1897" s="15" t="s">
        <v>22</v>
      </c>
    </row>
    <row r="1898" spans="1:11" ht="42" customHeight="1">
      <c r="A1898" s="4" t="s">
        <v>4752</v>
      </c>
      <c r="B1898" s="5" t="s">
        <v>4752</v>
      </c>
      <c r="C1898" s="5" t="s">
        <v>49</v>
      </c>
      <c r="D1898" s="5" t="s">
        <v>50</v>
      </c>
      <c r="E1898" s="5" t="s">
        <v>65</v>
      </c>
      <c r="F1898" s="9">
        <v>52</v>
      </c>
      <c r="G1898" s="9">
        <v>619</v>
      </c>
      <c r="H1898" s="5" t="s">
        <v>20</v>
      </c>
      <c r="I1898" s="5" t="s">
        <v>4753</v>
      </c>
      <c r="J1898" s="12" t="str">
        <f>HYPERLINK("https://www.boe.es/gazeta/dias/1807/06/19/pdfs/GMD-1807-52.pdf#page=9","Abrir facsímil")</f>
        <v>Abrir facsímil</v>
      </c>
      <c r="K1898" s="15" t="s">
        <v>22</v>
      </c>
    </row>
    <row r="1899" spans="1:11" ht="42" customHeight="1">
      <c r="A1899" s="4" t="s">
        <v>4754</v>
      </c>
      <c r="B1899" s="5" t="s">
        <v>4754</v>
      </c>
      <c r="C1899" s="5" t="s">
        <v>49</v>
      </c>
      <c r="D1899" s="5" t="s">
        <v>50</v>
      </c>
      <c r="E1899" s="5" t="s">
        <v>167</v>
      </c>
      <c r="F1899" s="9">
        <v>77</v>
      </c>
      <c r="G1899" s="9">
        <v>886</v>
      </c>
      <c r="H1899" s="5" t="s">
        <v>20</v>
      </c>
      <c r="I1899" s="5" t="s">
        <v>4755</v>
      </c>
      <c r="J1899" s="12" t="str">
        <f>HYPERLINK("https://www.boe.es/gazeta/dias/1807/08/28/pdfs/GMD-1807-77.pdf#page=2","Abrir facsímil")</f>
        <v>Abrir facsímil</v>
      </c>
      <c r="K1899" s="15" t="s">
        <v>22</v>
      </c>
    </row>
    <row r="1900" spans="1:11" ht="42" customHeight="1">
      <c r="A1900" s="4" t="s">
        <v>4756</v>
      </c>
      <c r="B1900" s="5" t="s">
        <v>4756</v>
      </c>
      <c r="C1900" s="5" t="s">
        <v>28</v>
      </c>
      <c r="D1900" s="5" t="s">
        <v>29</v>
      </c>
      <c r="E1900" s="5" t="s">
        <v>447</v>
      </c>
      <c r="F1900" s="9">
        <v>65</v>
      </c>
      <c r="G1900" s="9">
        <v>756</v>
      </c>
      <c r="H1900" s="5" t="s">
        <v>20</v>
      </c>
      <c r="I1900" s="5" t="s">
        <v>4757</v>
      </c>
      <c r="J1900" s="12" t="str">
        <f>HYPERLINK("https://www.boe.es/gazeta/dias/1807/07/24/pdfs/GMD-1807-65.pdf#page=6","Abrir facsímil")</f>
        <v>Abrir facsímil</v>
      </c>
      <c r="K1900" s="15" t="s">
        <v>22</v>
      </c>
    </row>
    <row r="1901" spans="1:11" ht="42" customHeight="1">
      <c r="A1901" s="4" t="s">
        <v>4758</v>
      </c>
      <c r="B1901" s="5" t="s">
        <v>4758</v>
      </c>
      <c r="C1901" s="5" t="s">
        <v>252</v>
      </c>
      <c r="D1901" s="5" t="s">
        <v>253</v>
      </c>
      <c r="E1901" s="5" t="s">
        <v>4686</v>
      </c>
      <c r="F1901" s="9" t="s">
        <v>4687</v>
      </c>
      <c r="G1901" s="9">
        <v>712</v>
      </c>
      <c r="H1901" s="5" t="s">
        <v>20</v>
      </c>
      <c r="I1901" s="5" t="s">
        <v>4688</v>
      </c>
      <c r="J1901" s="12" t="str">
        <f>HYPERLINK("https://www.boe.es/gazeta/dias/1807/07/13/pdfs/GMD-1807-60E.pdf#page=6","Abrir facsímil")</f>
        <v>Abrir facsímil</v>
      </c>
      <c r="K1901" s="15" t="s">
        <v>22</v>
      </c>
    </row>
    <row r="1902" spans="1:11" ht="42" customHeight="1">
      <c r="A1902" s="4" t="s">
        <v>4759</v>
      </c>
      <c r="B1902" s="5" t="s">
        <v>4759</v>
      </c>
      <c r="C1902" s="5" t="s">
        <v>252</v>
      </c>
      <c r="D1902" s="5" t="s">
        <v>253</v>
      </c>
      <c r="E1902" s="5" t="s">
        <v>534</v>
      </c>
      <c r="F1902" s="9" t="s">
        <v>535</v>
      </c>
      <c r="G1902" s="9">
        <v>99</v>
      </c>
      <c r="H1902" s="5" t="s">
        <v>20</v>
      </c>
      <c r="I1902" s="5" t="s">
        <v>4760</v>
      </c>
      <c r="J1902" s="12" t="str">
        <f>HYPERLINK("https://www.boe.es/gazeta/dias/1807/01/24/pdfs/GMD-1807-9E.pdf#page=3","Abrir facsímil")</f>
        <v>Abrir facsímil</v>
      </c>
      <c r="K1902" s="15" t="s">
        <v>22</v>
      </c>
    </row>
    <row r="1903" spans="1:11" ht="42" customHeight="1">
      <c r="A1903" s="4" t="s">
        <v>4761</v>
      </c>
      <c r="B1903" s="5" t="s">
        <v>4761</v>
      </c>
      <c r="C1903" s="5" t="s">
        <v>49</v>
      </c>
      <c r="D1903" s="5" t="s">
        <v>50</v>
      </c>
      <c r="E1903" s="5" t="s">
        <v>666</v>
      </c>
      <c r="F1903" s="9">
        <v>43</v>
      </c>
      <c r="G1903" s="9">
        <v>508</v>
      </c>
      <c r="H1903" s="5" t="s">
        <v>20</v>
      </c>
      <c r="I1903" s="5" t="s">
        <v>4762</v>
      </c>
      <c r="J1903" s="12" t="str">
        <f>HYPERLINK("https://www.boe.es/gazeta/dias/1807/05/19/pdfs/GMD-1807-43.pdf#page=2","Abrir facsímil")</f>
        <v>Abrir facsímil</v>
      </c>
      <c r="K1903" s="15" t="s">
        <v>22</v>
      </c>
    </row>
    <row r="1904" spans="1:11" ht="42" customHeight="1">
      <c r="A1904" s="4" t="s">
        <v>4761</v>
      </c>
      <c r="B1904" s="5" t="s">
        <v>4761</v>
      </c>
      <c r="C1904" s="5" t="s">
        <v>49</v>
      </c>
      <c r="D1904" s="5" t="s">
        <v>50</v>
      </c>
      <c r="E1904" s="5" t="s">
        <v>135</v>
      </c>
      <c r="F1904" s="9">
        <v>80</v>
      </c>
      <c r="G1904" s="9">
        <v>927</v>
      </c>
      <c r="H1904" s="5" t="s">
        <v>20</v>
      </c>
      <c r="I1904" s="5" t="s">
        <v>4763</v>
      </c>
      <c r="J1904" s="12" t="str">
        <f>HYPERLINK("https://www.boe.es/gazeta/dias/1807/09/08/pdfs/GMD-1807-80.pdf#page=3","Abrir facsímil")</f>
        <v>Abrir facsímil</v>
      </c>
      <c r="K1904" s="15" t="s">
        <v>22</v>
      </c>
    </row>
    <row r="1905" spans="1:11" ht="42" customHeight="1">
      <c r="A1905" s="4" t="s">
        <v>4764</v>
      </c>
      <c r="B1905" s="5" t="s">
        <v>4764</v>
      </c>
      <c r="C1905" s="5" t="s">
        <v>28</v>
      </c>
      <c r="D1905" s="5" t="s">
        <v>29</v>
      </c>
      <c r="E1905" s="5" t="s">
        <v>259</v>
      </c>
      <c r="F1905" s="9">
        <v>3</v>
      </c>
      <c r="G1905" s="9">
        <v>26</v>
      </c>
      <c r="H1905" s="5" t="s">
        <v>20</v>
      </c>
      <c r="I1905" s="5" t="s">
        <v>4716</v>
      </c>
      <c r="J1905" s="12" t="str">
        <f>HYPERLINK("https://www.boe.es/gazeta/dias/1807/01/09/pdfs/GMD-1807-3.pdf#page=6","Abrir facsímil")</f>
        <v>Abrir facsímil</v>
      </c>
      <c r="K1905" s="15" t="s">
        <v>22</v>
      </c>
    </row>
    <row r="1906" spans="1:11" ht="42" customHeight="1">
      <c r="A1906" s="4" t="s">
        <v>4765</v>
      </c>
      <c r="B1906" s="5" t="s">
        <v>4765</v>
      </c>
      <c r="C1906" s="5" t="s">
        <v>28</v>
      </c>
      <c r="D1906" s="5" t="s">
        <v>29</v>
      </c>
      <c r="E1906" s="5" t="s">
        <v>447</v>
      </c>
      <c r="F1906" s="9">
        <v>65</v>
      </c>
      <c r="G1906" s="9">
        <v>756</v>
      </c>
      <c r="H1906" s="5" t="s">
        <v>20</v>
      </c>
      <c r="I1906" s="5" t="s">
        <v>4757</v>
      </c>
      <c r="J1906" s="12" t="str">
        <f>HYPERLINK("https://www.boe.es/gazeta/dias/1807/07/24/pdfs/GMD-1807-65.pdf#page=6","Abrir facsímil")</f>
        <v>Abrir facsímil</v>
      </c>
      <c r="K1906" s="15" t="s">
        <v>22</v>
      </c>
    </row>
    <row r="1907" spans="1:11" ht="42" customHeight="1">
      <c r="A1907" s="4" t="s">
        <v>4766</v>
      </c>
      <c r="B1907" s="5" t="s">
        <v>4766</v>
      </c>
      <c r="C1907" s="5" t="s">
        <v>49</v>
      </c>
      <c r="D1907" s="5" t="s">
        <v>50</v>
      </c>
      <c r="E1907" s="5" t="s">
        <v>406</v>
      </c>
      <c r="F1907" s="9">
        <v>82</v>
      </c>
      <c r="G1907" s="9">
        <v>952</v>
      </c>
      <c r="H1907" s="5" t="s">
        <v>20</v>
      </c>
      <c r="I1907" s="5" t="s">
        <v>4767</v>
      </c>
      <c r="J1907" s="12" t="str">
        <f>HYPERLINK("https://www.boe.es/gazeta/dias/1807/09/15/pdfs/GMD-1807-82.pdf#page=4","Abrir facsímil")</f>
        <v>Abrir facsímil</v>
      </c>
      <c r="K1907" s="15" t="s">
        <v>22</v>
      </c>
    </row>
    <row r="1908" spans="1:11" ht="42" customHeight="1">
      <c r="A1908" s="4" t="s">
        <v>4768</v>
      </c>
      <c r="B1908" s="5" t="s">
        <v>4768</v>
      </c>
      <c r="C1908" s="5" t="s">
        <v>49</v>
      </c>
      <c r="D1908" s="5" t="s">
        <v>50</v>
      </c>
      <c r="E1908" s="5" t="s">
        <v>65</v>
      </c>
      <c r="F1908" s="9">
        <v>52</v>
      </c>
      <c r="G1908" s="9">
        <v>619</v>
      </c>
      <c r="H1908" s="5" t="s">
        <v>20</v>
      </c>
      <c r="I1908" s="5" t="s">
        <v>4753</v>
      </c>
      <c r="J1908" s="12" t="str">
        <f>HYPERLINK("https://www.boe.es/gazeta/dias/1807/06/19/pdfs/GMD-1807-52.pdf#page=9","Abrir facsímil")</f>
        <v>Abrir facsímil</v>
      </c>
      <c r="K1908" s="15" t="s">
        <v>22</v>
      </c>
    </row>
    <row r="1909" spans="1:11" ht="42" customHeight="1">
      <c r="A1909" s="4" t="s">
        <v>4769</v>
      </c>
      <c r="B1909" s="5" t="s">
        <v>4769</v>
      </c>
      <c r="C1909" s="5" t="s">
        <v>34</v>
      </c>
      <c r="D1909" s="5" t="s">
        <v>35</v>
      </c>
      <c r="E1909" s="5" t="s">
        <v>167</v>
      </c>
      <c r="F1909" s="9">
        <v>77</v>
      </c>
      <c r="G1909" s="9">
        <v>885</v>
      </c>
      <c r="H1909" s="5" t="s">
        <v>20</v>
      </c>
      <c r="I1909" s="5" t="s">
        <v>4770</v>
      </c>
      <c r="J1909" s="12" t="str">
        <f>HYPERLINK("https://www.boe.es/gazeta/dias/1807/08/28/pdfs/GMD-1807-77.pdf#page=1","Abrir facsímil")</f>
        <v>Abrir facsímil</v>
      </c>
      <c r="K1909" s="15" t="s">
        <v>22</v>
      </c>
    </row>
    <row r="1910" spans="1:11" ht="42" customHeight="1">
      <c r="A1910" s="4" t="s">
        <v>4771</v>
      </c>
      <c r="B1910" s="5" t="s">
        <v>4771</v>
      </c>
      <c r="C1910" s="5" t="s">
        <v>28</v>
      </c>
      <c r="D1910" s="5" t="s">
        <v>29</v>
      </c>
      <c r="E1910" s="5" t="s">
        <v>186</v>
      </c>
      <c r="F1910" s="9">
        <v>72</v>
      </c>
      <c r="G1910" s="9">
        <v>830</v>
      </c>
      <c r="H1910" s="5" t="s">
        <v>20</v>
      </c>
      <c r="I1910" s="5" t="s">
        <v>4671</v>
      </c>
      <c r="J1910" s="12" t="str">
        <f>HYPERLINK("https://www.boe.es/gazeta/dias/1807/08/11/pdfs/GMD-1807-72.pdf#page=10","Abrir facsímil")</f>
        <v>Abrir facsímil</v>
      </c>
      <c r="K1910" s="15" t="s">
        <v>22</v>
      </c>
    </row>
    <row r="1911" spans="1:11" ht="42" customHeight="1">
      <c r="A1911" s="4" t="s">
        <v>4772</v>
      </c>
      <c r="B1911" s="5" t="s">
        <v>4772</v>
      </c>
      <c r="C1911" s="5" t="s">
        <v>49</v>
      </c>
      <c r="D1911" s="5" t="s">
        <v>50</v>
      </c>
      <c r="E1911" s="5" t="s">
        <v>241</v>
      </c>
      <c r="F1911" s="9">
        <v>76</v>
      </c>
      <c r="G1911" s="9">
        <v>877</v>
      </c>
      <c r="H1911" s="5" t="s">
        <v>20</v>
      </c>
      <c r="I1911" s="5" t="s">
        <v>4712</v>
      </c>
      <c r="J1911" s="12" t="str">
        <f>HYPERLINK("https://www.boe.es/gazeta/dias/1807/08/25/pdfs/GMD-1807-76.pdf#page=5","Abrir facsímil")</f>
        <v>Abrir facsímil</v>
      </c>
      <c r="K1911" s="15" t="s">
        <v>22</v>
      </c>
    </row>
    <row r="1912" spans="1:11" ht="42" customHeight="1">
      <c r="A1912" s="4" t="s">
        <v>4773</v>
      </c>
      <c r="B1912" s="5" t="s">
        <v>4773</v>
      </c>
      <c r="C1912" s="5" t="s">
        <v>49</v>
      </c>
      <c r="D1912" s="5" t="s">
        <v>50</v>
      </c>
      <c r="E1912" s="5" t="s">
        <v>40</v>
      </c>
      <c r="F1912" s="9">
        <v>26</v>
      </c>
      <c r="G1912" s="9">
        <v>309</v>
      </c>
      <c r="H1912" s="5" t="s">
        <v>20</v>
      </c>
      <c r="I1912" s="5" t="s">
        <v>4747</v>
      </c>
      <c r="J1912" s="12" t="str">
        <f>HYPERLINK("https://www.boe.es/gazeta/dias/1807/03/20/pdfs/GMD-1807-26.pdf#page=5","Abrir facsímil")</f>
        <v>Abrir facsímil</v>
      </c>
      <c r="K1912" s="15" t="s">
        <v>22</v>
      </c>
    </row>
    <row r="1913" spans="1:11" ht="42" customHeight="1">
      <c r="A1913" s="4" t="s">
        <v>4774</v>
      </c>
      <c r="B1913" s="5" t="s">
        <v>4774</v>
      </c>
      <c r="C1913" s="5" t="s">
        <v>49</v>
      </c>
      <c r="D1913" s="5" t="s">
        <v>50</v>
      </c>
      <c r="E1913" s="5" t="s">
        <v>81</v>
      </c>
      <c r="F1913" s="9">
        <v>49</v>
      </c>
      <c r="G1913" s="9">
        <v>578</v>
      </c>
      <c r="H1913" s="5" t="s">
        <v>20</v>
      </c>
      <c r="I1913" s="5" t="s">
        <v>4690</v>
      </c>
      <c r="J1913" s="12" t="str">
        <f>HYPERLINK("https://www.boe.es/gazeta/dias/1807/06/09/pdfs/GMD-1807-49.pdf#page=4","Abrir facsímil")</f>
        <v>Abrir facsímil</v>
      </c>
      <c r="K1913" s="15" t="s">
        <v>22</v>
      </c>
    </row>
    <row r="1914" spans="1:11" ht="42" customHeight="1">
      <c r="A1914" s="4" t="s">
        <v>4775</v>
      </c>
      <c r="B1914" s="5" t="s">
        <v>4775</v>
      </c>
      <c r="C1914" s="5" t="s">
        <v>49</v>
      </c>
      <c r="D1914" s="5" t="s">
        <v>50</v>
      </c>
      <c r="E1914" s="5" t="s">
        <v>319</v>
      </c>
      <c r="F1914" s="9">
        <v>54</v>
      </c>
      <c r="G1914" s="9">
        <v>641</v>
      </c>
      <c r="H1914" s="5" t="s">
        <v>20</v>
      </c>
      <c r="I1914" s="5" t="s">
        <v>4776</v>
      </c>
      <c r="J1914" s="12" t="str">
        <f>HYPERLINK("https://www.boe.es/gazeta/dias/1807/06/26/pdfs/GMD-1807-54.pdf#page=3","Abrir facsímil")</f>
        <v>Abrir facsímil</v>
      </c>
      <c r="K1914" s="15" t="s">
        <v>22</v>
      </c>
    </row>
    <row r="1915" spans="1:11" ht="42" customHeight="1">
      <c r="A1915" s="4" t="s">
        <v>4777</v>
      </c>
      <c r="B1915" s="5" t="s">
        <v>4777</v>
      </c>
      <c r="C1915" s="5" t="s">
        <v>49</v>
      </c>
      <c r="D1915" s="5" t="s">
        <v>50</v>
      </c>
      <c r="E1915" s="5" t="s">
        <v>418</v>
      </c>
      <c r="F1915" s="9">
        <v>4</v>
      </c>
      <c r="G1915" s="9">
        <v>33</v>
      </c>
      <c r="H1915" s="5" t="s">
        <v>20</v>
      </c>
      <c r="I1915" s="5" t="s">
        <v>4694</v>
      </c>
      <c r="J1915" s="12" t="str">
        <f>HYPERLINK("https://www.boe.es/gazeta/dias/1807/01/13/pdfs/GMD-1807-4.pdf#page=1","Abrir facsímil")</f>
        <v>Abrir facsímil</v>
      </c>
      <c r="K1915" s="15" t="s">
        <v>22</v>
      </c>
    </row>
    <row r="1916" spans="1:11" ht="42" customHeight="1">
      <c r="A1916" s="4" t="s">
        <v>4778</v>
      </c>
      <c r="B1916" s="5" t="s">
        <v>4778</v>
      </c>
      <c r="C1916" s="5" t="s">
        <v>49</v>
      </c>
      <c r="D1916" s="5" t="s">
        <v>50</v>
      </c>
      <c r="E1916" s="5" t="s">
        <v>53</v>
      </c>
      <c r="F1916" s="9">
        <v>64</v>
      </c>
      <c r="G1916" s="9">
        <v>740</v>
      </c>
      <c r="H1916" s="5" t="s">
        <v>20</v>
      </c>
      <c r="I1916" s="5" t="s">
        <v>4737</v>
      </c>
      <c r="J1916" s="12" t="str">
        <f>HYPERLINK("https://www.boe.es/gazeta/dias/1807/07/21/pdfs/GMD-1807-64.pdf#page=2","Abrir facsímil")</f>
        <v>Abrir facsímil</v>
      </c>
      <c r="K1916" s="15" t="s">
        <v>22</v>
      </c>
    </row>
    <row r="1917" spans="1:11" ht="42" customHeight="1">
      <c r="A1917" s="4" t="s">
        <v>4779</v>
      </c>
      <c r="B1917" s="5" t="s">
        <v>4779</v>
      </c>
      <c r="C1917" s="5" t="s">
        <v>252</v>
      </c>
      <c r="D1917" s="5" t="s">
        <v>253</v>
      </c>
      <c r="E1917" s="5" t="s">
        <v>1959</v>
      </c>
      <c r="F1917" s="9" t="s">
        <v>1960</v>
      </c>
      <c r="G1917" s="9">
        <v>737</v>
      </c>
      <c r="H1917" s="5" t="s">
        <v>20</v>
      </c>
      <c r="I1917" s="5" t="s">
        <v>4728</v>
      </c>
      <c r="J1917" s="12" t="str">
        <f>HYPERLINK("https://www.boe.es/gazeta/dias/1807/07/18/pdfs/GMD-1807-63E.pdf#page=3","Abrir facsímil")</f>
        <v>Abrir facsímil</v>
      </c>
      <c r="K1917" s="15" t="s">
        <v>22</v>
      </c>
    </row>
    <row r="1918" spans="1:11" ht="42" customHeight="1">
      <c r="A1918" s="4" t="s">
        <v>4780</v>
      </c>
      <c r="B1918" s="5" t="s">
        <v>4780</v>
      </c>
      <c r="C1918" s="5" t="s">
        <v>49</v>
      </c>
      <c r="D1918" s="5" t="s">
        <v>50</v>
      </c>
      <c r="E1918" s="5" t="s">
        <v>79</v>
      </c>
      <c r="F1918" s="9">
        <v>11</v>
      </c>
      <c r="G1918" s="9">
        <v>122</v>
      </c>
      <c r="H1918" s="5" t="s">
        <v>20</v>
      </c>
      <c r="I1918" s="5" t="s">
        <v>4705</v>
      </c>
      <c r="J1918" s="12" t="str">
        <f>HYPERLINK("https://www.boe.es/gazeta/dias/1807/01/30/pdfs/GMD-1807-11.pdf#page=6","Abrir facsímil")</f>
        <v>Abrir facsímil</v>
      </c>
      <c r="K1918" s="15" t="s">
        <v>22</v>
      </c>
    </row>
    <row r="1919" spans="1:11" ht="42" customHeight="1">
      <c r="A1919" s="4" t="s">
        <v>4781</v>
      </c>
      <c r="B1919" s="5" t="s">
        <v>4781</v>
      </c>
      <c r="C1919" s="5" t="s">
        <v>49</v>
      </c>
      <c r="D1919" s="5" t="s">
        <v>50</v>
      </c>
      <c r="E1919" s="5" t="s">
        <v>167</v>
      </c>
      <c r="F1919" s="9">
        <v>77</v>
      </c>
      <c r="G1919" s="9">
        <v>886</v>
      </c>
      <c r="H1919" s="5" t="s">
        <v>20</v>
      </c>
      <c r="I1919" s="5" t="s">
        <v>4755</v>
      </c>
      <c r="J1919" s="12" t="str">
        <f>HYPERLINK("https://www.boe.es/gazeta/dias/1807/08/28/pdfs/GMD-1807-77.pdf#page=2","Abrir facsímil")</f>
        <v>Abrir facsímil</v>
      </c>
      <c r="K1919" s="15" t="s">
        <v>22</v>
      </c>
    </row>
    <row r="1920" spans="1:11" ht="42" customHeight="1">
      <c r="A1920" s="4" t="s">
        <v>4782</v>
      </c>
      <c r="B1920" s="5" t="s">
        <v>4782</v>
      </c>
      <c r="C1920" s="5" t="s">
        <v>252</v>
      </c>
      <c r="D1920" s="5" t="s">
        <v>253</v>
      </c>
      <c r="E1920" s="5" t="s">
        <v>4686</v>
      </c>
      <c r="F1920" s="9" t="s">
        <v>4687</v>
      </c>
      <c r="G1920" s="9">
        <v>707</v>
      </c>
      <c r="H1920" s="5" t="s">
        <v>20</v>
      </c>
      <c r="I1920" s="5" t="s">
        <v>4710</v>
      </c>
      <c r="J1920" s="12" t="str">
        <f>HYPERLINK("https://www.boe.es/gazeta/dias/1807/07/13/pdfs/GMD-1807-60E.pdf#page=1","Abrir facsímil")</f>
        <v>Abrir facsímil</v>
      </c>
      <c r="K1920" s="15" t="s">
        <v>22</v>
      </c>
    </row>
    <row r="1921" spans="1:11" ht="42" customHeight="1">
      <c r="A1921" s="4" t="s">
        <v>4783</v>
      </c>
      <c r="B1921" s="5" t="s">
        <v>4783</v>
      </c>
      <c r="C1921" s="5" t="s">
        <v>49</v>
      </c>
      <c r="D1921" s="5" t="s">
        <v>50</v>
      </c>
      <c r="E1921" s="5" t="s">
        <v>270</v>
      </c>
      <c r="F1921" s="9">
        <v>8</v>
      </c>
      <c r="G1921" s="9">
        <v>86</v>
      </c>
      <c r="H1921" s="5" t="s">
        <v>20</v>
      </c>
      <c r="I1921" s="5" t="s">
        <v>4784</v>
      </c>
      <c r="J1921" s="12" t="str">
        <f>HYPERLINK("https://www.boe.es/gazeta/dias/1807/01/23/pdfs/GMD-1807-8.pdf#page=2","Abrir facsímil")</f>
        <v>Abrir facsímil</v>
      </c>
      <c r="K1921" s="15" t="s">
        <v>22</v>
      </c>
    </row>
    <row r="1922" spans="1:11" ht="42" customHeight="1">
      <c r="A1922" s="4" t="s">
        <v>4785</v>
      </c>
      <c r="B1922" s="5" t="s">
        <v>4785</v>
      </c>
      <c r="C1922" s="5" t="s">
        <v>252</v>
      </c>
      <c r="D1922" s="5" t="s">
        <v>253</v>
      </c>
      <c r="E1922" s="5" t="s">
        <v>4786</v>
      </c>
      <c r="F1922" s="9" t="s">
        <v>4787</v>
      </c>
      <c r="G1922" s="9">
        <v>1018</v>
      </c>
      <c r="H1922" s="5" t="s">
        <v>20</v>
      </c>
      <c r="I1922" s="5" t="s">
        <v>4788</v>
      </c>
      <c r="J1922" s="12" t="str">
        <f>HYPERLINK("https://www.boe.es/gazeta/dias/1807/09/30/pdfs/GMD-1807-88E.pdf#page=6","Abrir facsímil")</f>
        <v>Abrir facsímil</v>
      </c>
      <c r="K1922" s="15" t="s">
        <v>22</v>
      </c>
    </row>
    <row r="1923" spans="1:11" ht="42" customHeight="1">
      <c r="A1923" s="4" t="s">
        <v>4789</v>
      </c>
      <c r="B1923" s="5" t="s">
        <v>4789</v>
      </c>
      <c r="C1923" s="5" t="s">
        <v>49</v>
      </c>
      <c r="D1923" s="5" t="s">
        <v>50</v>
      </c>
      <c r="E1923" s="5" t="s">
        <v>319</v>
      </c>
      <c r="F1923" s="9">
        <v>54</v>
      </c>
      <c r="G1923" s="9">
        <v>641</v>
      </c>
      <c r="H1923" s="5" t="s">
        <v>20</v>
      </c>
      <c r="I1923" s="5" t="s">
        <v>4776</v>
      </c>
      <c r="J1923" s="12" t="str">
        <f>HYPERLINK("https://www.boe.es/gazeta/dias/1807/06/26/pdfs/GMD-1807-54.pdf#page=3","Abrir facsímil")</f>
        <v>Abrir facsímil</v>
      </c>
      <c r="K1923" s="15" t="s">
        <v>22</v>
      </c>
    </row>
    <row r="1924" spans="1:11" ht="42" customHeight="1">
      <c r="A1924" s="4" t="s">
        <v>4790</v>
      </c>
      <c r="B1924" s="5" t="s">
        <v>4791</v>
      </c>
      <c r="C1924" s="5" t="s">
        <v>89</v>
      </c>
      <c r="D1924" s="5" t="s">
        <v>90</v>
      </c>
      <c r="E1924" s="5" t="s">
        <v>40</v>
      </c>
      <c r="F1924" s="9">
        <v>26</v>
      </c>
      <c r="G1924" s="9">
        <v>315</v>
      </c>
      <c r="H1924" s="5" t="s">
        <v>20</v>
      </c>
      <c r="I1924" s="5" t="s">
        <v>4792</v>
      </c>
      <c r="J1924" s="12" t="str">
        <f>HYPERLINK("https://www.boe.es/gazeta/dias/1807/03/20/pdfs/GMD-1807-26.pdf#page=11","Abrir facsímil")</f>
        <v>Abrir facsímil</v>
      </c>
      <c r="K1924" s="15" t="s">
        <v>22</v>
      </c>
    </row>
    <row r="1925" spans="1:11" ht="42" customHeight="1">
      <c r="A1925" s="4" t="s">
        <v>4793</v>
      </c>
      <c r="B1925" s="5" t="s">
        <v>4794</v>
      </c>
      <c r="C1925" s="5" t="s">
        <v>28</v>
      </c>
      <c r="D1925" s="5" t="s">
        <v>29</v>
      </c>
      <c r="E1925" s="5" t="s">
        <v>156</v>
      </c>
      <c r="F1925" s="9">
        <v>74</v>
      </c>
      <c r="G1925" s="9">
        <v>854</v>
      </c>
      <c r="H1925" s="5" t="s">
        <v>20</v>
      </c>
      <c r="I1925" s="5" t="s">
        <v>4795</v>
      </c>
      <c r="J1925" s="12" t="str">
        <f>HYPERLINK("https://www.boe.es/gazeta/dias/1807/08/18/pdfs/GMD-1807-74.pdf#page=6","Abrir facsímil")</f>
        <v>Abrir facsímil</v>
      </c>
      <c r="K1925" s="15" t="s">
        <v>22</v>
      </c>
    </row>
    <row r="1926" spans="1:11" ht="42" customHeight="1">
      <c r="A1926" s="4" t="s">
        <v>4796</v>
      </c>
      <c r="B1926" s="5" t="s">
        <v>4797</v>
      </c>
      <c r="C1926" s="5" t="s">
        <v>28</v>
      </c>
      <c r="D1926" s="5" t="s">
        <v>29</v>
      </c>
      <c r="E1926" s="5" t="s">
        <v>270</v>
      </c>
      <c r="F1926" s="9">
        <v>8</v>
      </c>
      <c r="G1926" s="9">
        <v>92</v>
      </c>
      <c r="H1926" s="5" t="s">
        <v>20</v>
      </c>
      <c r="I1926" s="5" t="s">
        <v>4798</v>
      </c>
      <c r="J1926" s="12" t="str">
        <f>HYPERLINK("https://www.boe.es/gazeta/dias/1807/01/23/pdfs/GMD-1807-8.pdf#page=8","Abrir facsímil")</f>
        <v>Abrir facsímil</v>
      </c>
      <c r="K1926" s="15" t="s">
        <v>22</v>
      </c>
    </row>
    <row r="1927" spans="1:11" ht="42" customHeight="1">
      <c r="A1927" s="4" t="s">
        <v>4796</v>
      </c>
      <c r="B1927" s="5" t="s">
        <v>4797</v>
      </c>
      <c r="C1927" s="5" t="s">
        <v>24</v>
      </c>
      <c r="D1927" s="5" t="s">
        <v>18</v>
      </c>
      <c r="E1927" s="5" t="s">
        <v>79</v>
      </c>
      <c r="F1927" s="9">
        <v>11</v>
      </c>
      <c r="G1927" s="9">
        <v>124</v>
      </c>
      <c r="H1927" s="5" t="s">
        <v>20</v>
      </c>
      <c r="I1927" s="5" t="s">
        <v>4799</v>
      </c>
      <c r="J1927" s="12" t="str">
        <f>HYPERLINK("https://www.boe.es/gazeta/dias/1807/01/30/pdfs/GMD-1807-11.pdf#page=8","Abrir facsímil")</f>
        <v>Abrir facsímil</v>
      </c>
      <c r="K1927" s="15" t="s">
        <v>22</v>
      </c>
    </row>
    <row r="1928" spans="1:11" ht="42" customHeight="1">
      <c r="A1928" s="4" t="s">
        <v>4796</v>
      </c>
      <c r="B1928" s="5" t="s">
        <v>4797</v>
      </c>
      <c r="C1928" s="5" t="s">
        <v>28</v>
      </c>
      <c r="D1928" s="5" t="s">
        <v>29</v>
      </c>
      <c r="E1928" s="5" t="s">
        <v>86</v>
      </c>
      <c r="F1928" s="9">
        <v>12</v>
      </c>
      <c r="G1928" s="9">
        <v>135</v>
      </c>
      <c r="H1928" s="5" t="s">
        <v>20</v>
      </c>
      <c r="I1928" s="5" t="s">
        <v>4800</v>
      </c>
      <c r="J1928" s="12" t="str">
        <f>HYPERLINK("https://www.boe.es/gazeta/dias/1807/02/03/pdfs/GMD-1807-12.pdf#page=7","Abrir facsímil")</f>
        <v>Abrir facsímil</v>
      </c>
      <c r="K1928" s="15" t="s">
        <v>22</v>
      </c>
    </row>
    <row r="1929" spans="1:11" ht="42" customHeight="1">
      <c r="A1929" s="4" t="s">
        <v>4796</v>
      </c>
      <c r="B1929" s="5" t="s">
        <v>4797</v>
      </c>
      <c r="C1929" s="5" t="s">
        <v>34</v>
      </c>
      <c r="D1929" s="5" t="s">
        <v>35</v>
      </c>
      <c r="E1929" s="5" t="s">
        <v>86</v>
      </c>
      <c r="F1929" s="9">
        <v>12</v>
      </c>
      <c r="G1929" s="9">
        <v>136</v>
      </c>
      <c r="H1929" s="5" t="s">
        <v>20</v>
      </c>
      <c r="I1929" s="5" t="s">
        <v>4801</v>
      </c>
      <c r="J1929" s="12" t="str">
        <f>HYPERLINK("https://www.boe.es/gazeta/dias/1807/02/03/pdfs/GMD-1807-12.pdf#page=8","Abrir facsímil")</f>
        <v>Abrir facsímil</v>
      </c>
      <c r="K1929" s="15" t="s">
        <v>22</v>
      </c>
    </row>
    <row r="1930" spans="1:11" ht="42" customHeight="1">
      <c r="A1930" s="4" t="s">
        <v>4796</v>
      </c>
      <c r="B1930" s="5" t="s">
        <v>4797</v>
      </c>
      <c r="C1930" s="5" t="s">
        <v>28</v>
      </c>
      <c r="D1930" s="5" t="s">
        <v>29</v>
      </c>
      <c r="E1930" s="5" t="s">
        <v>282</v>
      </c>
      <c r="F1930" s="9">
        <v>16</v>
      </c>
      <c r="G1930" s="9">
        <v>185</v>
      </c>
      <c r="H1930" s="5" t="s">
        <v>20</v>
      </c>
      <c r="I1930" s="5" t="s">
        <v>4802</v>
      </c>
      <c r="J1930" s="12" t="str">
        <f>HYPERLINK("https://www.boe.es/gazeta/dias/1807/02/17/pdfs/GMD-1807-16.pdf#page=9","Abrir facsímil")</f>
        <v>Abrir facsímil</v>
      </c>
      <c r="K1930" s="15" t="s">
        <v>22</v>
      </c>
    </row>
    <row r="1931" spans="1:11" ht="42" customHeight="1">
      <c r="A1931" s="4" t="s">
        <v>4796</v>
      </c>
      <c r="B1931" s="5" t="s">
        <v>4797</v>
      </c>
      <c r="C1931" s="5" t="s">
        <v>24</v>
      </c>
      <c r="D1931" s="5" t="s">
        <v>18</v>
      </c>
      <c r="E1931" s="5" t="s">
        <v>464</v>
      </c>
      <c r="F1931" s="9">
        <v>18</v>
      </c>
      <c r="G1931" s="9">
        <v>213</v>
      </c>
      <c r="H1931" s="5" t="s">
        <v>20</v>
      </c>
      <c r="I1931" s="5" t="s">
        <v>4803</v>
      </c>
      <c r="J1931" s="12" t="str">
        <f>HYPERLINK("https://www.boe.es/gazeta/dias/1807/02/24/pdfs/GMD-1807-18.pdf#page=13","Abrir facsímil")</f>
        <v>Abrir facsímil</v>
      </c>
      <c r="K1931" s="15" t="s">
        <v>22</v>
      </c>
    </row>
    <row r="1932" spans="1:11" ht="42" customHeight="1">
      <c r="A1932" s="4" t="s">
        <v>4796</v>
      </c>
      <c r="B1932" s="5" t="s">
        <v>4797</v>
      </c>
      <c r="C1932" s="5" t="s">
        <v>24</v>
      </c>
      <c r="D1932" s="5" t="s">
        <v>18</v>
      </c>
      <c r="E1932" s="5" t="s">
        <v>464</v>
      </c>
      <c r="F1932" s="9">
        <v>18</v>
      </c>
      <c r="G1932" s="9">
        <v>214</v>
      </c>
      <c r="H1932" s="5" t="s">
        <v>20</v>
      </c>
      <c r="I1932" s="5" t="s">
        <v>4804</v>
      </c>
      <c r="J1932" s="12" t="str">
        <f>HYPERLINK("https://www.boe.es/gazeta/dias/1807/02/24/pdfs/GMD-1807-18.pdf#page=14","Abrir facsímil")</f>
        <v>Abrir facsímil</v>
      </c>
      <c r="K1932" s="15" t="s">
        <v>22</v>
      </c>
    </row>
    <row r="1933" spans="1:11" ht="42" customHeight="1">
      <c r="A1933" s="4" t="s">
        <v>4796</v>
      </c>
      <c r="B1933" s="5" t="s">
        <v>4797</v>
      </c>
      <c r="C1933" s="5" t="s">
        <v>34</v>
      </c>
      <c r="D1933" s="5" t="s">
        <v>35</v>
      </c>
      <c r="E1933" s="5" t="s">
        <v>346</v>
      </c>
      <c r="F1933" s="9">
        <v>21</v>
      </c>
      <c r="G1933" s="9">
        <v>248</v>
      </c>
      <c r="H1933" s="5" t="s">
        <v>20</v>
      </c>
      <c r="I1933" s="5" t="s">
        <v>4805</v>
      </c>
      <c r="J1933" s="12" t="str">
        <f>HYPERLINK("https://www.boe.es/gazeta/dias/1807/03/03/pdfs/GMD-1807-21.pdf#page=12","Abrir facsímil")</f>
        <v>Abrir facsímil</v>
      </c>
      <c r="K1933" s="15" t="s">
        <v>22</v>
      </c>
    </row>
    <row r="1934" spans="1:11" ht="42" customHeight="1">
      <c r="A1934" s="4" t="s">
        <v>4796</v>
      </c>
      <c r="B1934" s="5" t="s">
        <v>4797</v>
      </c>
      <c r="C1934" s="5" t="s">
        <v>28</v>
      </c>
      <c r="D1934" s="5" t="s">
        <v>29</v>
      </c>
      <c r="E1934" s="5" t="s">
        <v>94</v>
      </c>
      <c r="F1934" s="9">
        <v>22</v>
      </c>
      <c r="G1934" s="9">
        <v>254</v>
      </c>
      <c r="H1934" s="5" t="s">
        <v>20</v>
      </c>
      <c r="I1934" s="5" t="s">
        <v>4806</v>
      </c>
      <c r="J1934" s="12" t="str">
        <f>HYPERLINK("https://www.boe.es/gazeta/dias/1807/03/06/pdfs/GMD-1807-22.pdf#page=6","Abrir facsímil")</f>
        <v>Abrir facsímil</v>
      </c>
      <c r="K1934" s="15" t="s">
        <v>22</v>
      </c>
    </row>
    <row r="1935" spans="1:11" ht="42" customHeight="1">
      <c r="A1935" s="4" t="s">
        <v>4796</v>
      </c>
      <c r="B1935" s="5" t="s">
        <v>4797</v>
      </c>
      <c r="C1935" s="5" t="s">
        <v>28</v>
      </c>
      <c r="D1935" s="5" t="s">
        <v>29</v>
      </c>
      <c r="E1935" s="5" t="s">
        <v>390</v>
      </c>
      <c r="F1935" s="9">
        <v>24</v>
      </c>
      <c r="G1935" s="9">
        <v>287</v>
      </c>
      <c r="H1935" s="5" t="s">
        <v>20</v>
      </c>
      <c r="I1935" s="5" t="s">
        <v>4807</v>
      </c>
      <c r="J1935" s="12" t="str">
        <f>HYPERLINK("https://www.boe.es/gazeta/dias/1807/03/13/pdfs/GMD-1807-24.pdf#page=11","Abrir facsímil")</f>
        <v>Abrir facsímil</v>
      </c>
      <c r="K1935" s="15" t="s">
        <v>22</v>
      </c>
    </row>
    <row r="1936" spans="1:11" ht="42" customHeight="1">
      <c r="A1936" s="4" t="s">
        <v>4796</v>
      </c>
      <c r="B1936" s="5" t="s">
        <v>4797</v>
      </c>
      <c r="C1936" s="5" t="s">
        <v>28</v>
      </c>
      <c r="D1936" s="5" t="s">
        <v>29</v>
      </c>
      <c r="E1936" s="5" t="s">
        <v>40</v>
      </c>
      <c r="F1936" s="9">
        <v>26</v>
      </c>
      <c r="G1936" s="9">
        <v>311</v>
      </c>
      <c r="H1936" s="5" t="s">
        <v>20</v>
      </c>
      <c r="I1936" s="5" t="s">
        <v>4808</v>
      </c>
      <c r="J1936" s="12" t="str">
        <f>HYPERLINK("https://www.boe.es/gazeta/dias/1807/03/20/pdfs/GMD-1807-26.pdf#page=7","Abrir facsímil")</f>
        <v>Abrir facsímil</v>
      </c>
      <c r="K1936" s="15" t="s">
        <v>22</v>
      </c>
    </row>
    <row r="1937" spans="1:11" ht="42" customHeight="1">
      <c r="A1937" s="4" t="s">
        <v>4796</v>
      </c>
      <c r="B1937" s="5" t="s">
        <v>4797</v>
      </c>
      <c r="C1937" s="5" t="s">
        <v>28</v>
      </c>
      <c r="D1937" s="5" t="s">
        <v>29</v>
      </c>
      <c r="E1937" s="5" t="s">
        <v>40</v>
      </c>
      <c r="F1937" s="9">
        <v>26</v>
      </c>
      <c r="G1937" s="9">
        <v>312</v>
      </c>
      <c r="H1937" s="5" t="s">
        <v>20</v>
      </c>
      <c r="I1937" s="5" t="s">
        <v>4809</v>
      </c>
      <c r="J1937" s="12" t="str">
        <f>HYPERLINK("https://www.boe.es/gazeta/dias/1807/03/20/pdfs/GMD-1807-26.pdf#page=8","Abrir facsímil")</f>
        <v>Abrir facsímil</v>
      </c>
      <c r="K1937" s="15" t="s">
        <v>22</v>
      </c>
    </row>
    <row r="1938" spans="1:11" ht="42" customHeight="1">
      <c r="A1938" s="4" t="s">
        <v>4796</v>
      </c>
      <c r="B1938" s="5" t="s">
        <v>4797</v>
      </c>
      <c r="C1938" s="5" t="s">
        <v>89</v>
      </c>
      <c r="D1938" s="5" t="s">
        <v>90</v>
      </c>
      <c r="E1938" s="5" t="s">
        <v>478</v>
      </c>
      <c r="F1938" s="9">
        <v>30</v>
      </c>
      <c r="G1938" s="9">
        <v>360</v>
      </c>
      <c r="H1938" s="5" t="s">
        <v>20</v>
      </c>
      <c r="I1938" s="5" t="s">
        <v>4810</v>
      </c>
      <c r="J1938" s="12" t="str">
        <f>HYPERLINK("https://www.boe.es/gazeta/dias/1807/04/03/pdfs/GMD-1807-30.pdf#page=12","Abrir facsímil")</f>
        <v>Abrir facsímil</v>
      </c>
      <c r="K1938" s="15" t="s">
        <v>22</v>
      </c>
    </row>
    <row r="1939" spans="1:11" ht="42" customHeight="1">
      <c r="A1939" s="4" t="s">
        <v>4796</v>
      </c>
      <c r="B1939" s="5" t="s">
        <v>4797</v>
      </c>
      <c r="C1939" s="5" t="s">
        <v>28</v>
      </c>
      <c r="D1939" s="5" t="s">
        <v>29</v>
      </c>
      <c r="E1939" s="5" t="s">
        <v>498</v>
      </c>
      <c r="F1939" s="9">
        <v>32</v>
      </c>
      <c r="G1939" s="9">
        <v>381</v>
      </c>
      <c r="H1939" s="5" t="s">
        <v>20</v>
      </c>
      <c r="I1939" s="5" t="s">
        <v>4811</v>
      </c>
      <c r="J1939" s="12" t="str">
        <f>HYPERLINK("https://www.boe.es/gazeta/dias/1807/04/10/pdfs/GMD-1807-32.pdf#page=9","Abrir facsímil")</f>
        <v>Abrir facsímil</v>
      </c>
      <c r="K1939" s="15" t="s">
        <v>22</v>
      </c>
    </row>
    <row r="1940" spans="1:11" ht="42" customHeight="1">
      <c r="A1940" s="4" t="s">
        <v>4796</v>
      </c>
      <c r="B1940" s="5" t="s">
        <v>4797</v>
      </c>
      <c r="C1940" s="5" t="s">
        <v>28</v>
      </c>
      <c r="D1940" s="5" t="s">
        <v>29</v>
      </c>
      <c r="E1940" s="5" t="s">
        <v>422</v>
      </c>
      <c r="F1940" s="9">
        <v>33</v>
      </c>
      <c r="G1940" s="9">
        <v>395</v>
      </c>
      <c r="H1940" s="5" t="s">
        <v>20</v>
      </c>
      <c r="I1940" s="5" t="s">
        <v>4812</v>
      </c>
      <c r="J1940" s="12" t="str">
        <f>HYPERLINK("https://www.boe.es/gazeta/dias/1807/04/14/pdfs/GMD-1807-33.pdf#page=11","Abrir facsímil")</f>
        <v>Abrir facsímil</v>
      </c>
      <c r="K1940" s="15" t="s">
        <v>22</v>
      </c>
    </row>
    <row r="1941" spans="1:11" ht="42" customHeight="1">
      <c r="A1941" s="4" t="s">
        <v>4796</v>
      </c>
      <c r="B1941" s="5" t="s">
        <v>4797</v>
      </c>
      <c r="C1941" s="5" t="s">
        <v>28</v>
      </c>
      <c r="D1941" s="5" t="s">
        <v>29</v>
      </c>
      <c r="E1941" s="5" t="s">
        <v>98</v>
      </c>
      <c r="F1941" s="9">
        <v>34</v>
      </c>
      <c r="G1941" s="9">
        <v>405</v>
      </c>
      <c r="H1941" s="5" t="s">
        <v>20</v>
      </c>
      <c r="I1941" s="5" t="s">
        <v>4813</v>
      </c>
      <c r="J1941" s="12" t="str">
        <f>HYPERLINK("https://www.boe.es/gazeta/dias/1807/04/17/pdfs/GMD-1807-34.pdf#page=9","Abrir facsímil")</f>
        <v>Abrir facsímil</v>
      </c>
      <c r="K1941" s="15" t="s">
        <v>22</v>
      </c>
    </row>
    <row r="1942" spans="1:11" ht="42" customHeight="1">
      <c r="A1942" s="4" t="s">
        <v>4796</v>
      </c>
      <c r="B1942" s="5" t="s">
        <v>4797</v>
      </c>
      <c r="C1942" s="5" t="s">
        <v>28</v>
      </c>
      <c r="D1942" s="5" t="s">
        <v>29</v>
      </c>
      <c r="E1942" s="5" t="s">
        <v>98</v>
      </c>
      <c r="F1942" s="9">
        <v>34</v>
      </c>
      <c r="G1942" s="9">
        <v>406</v>
      </c>
      <c r="H1942" s="5" t="s">
        <v>20</v>
      </c>
      <c r="I1942" s="5" t="s">
        <v>4814</v>
      </c>
      <c r="J1942" s="12" t="str">
        <f>HYPERLINK("https://www.boe.es/gazeta/dias/1807/04/17/pdfs/GMD-1807-34.pdf#page=10","Abrir facsímil")</f>
        <v>Abrir facsímil</v>
      </c>
      <c r="K1942" s="15" t="s">
        <v>22</v>
      </c>
    </row>
    <row r="1943" spans="1:11" ht="42" customHeight="1">
      <c r="A1943" s="4" t="s">
        <v>4796</v>
      </c>
      <c r="B1943" s="5" t="s">
        <v>4797</v>
      </c>
      <c r="C1943" s="5" t="s">
        <v>89</v>
      </c>
      <c r="D1943" s="5" t="s">
        <v>90</v>
      </c>
      <c r="E1943" s="5" t="s">
        <v>36</v>
      </c>
      <c r="F1943" s="9">
        <v>36</v>
      </c>
      <c r="G1943" s="9">
        <v>432</v>
      </c>
      <c r="H1943" s="5" t="s">
        <v>20</v>
      </c>
      <c r="I1943" s="5" t="s">
        <v>4815</v>
      </c>
      <c r="J1943" s="12" t="str">
        <f>HYPERLINK("https://www.boe.es/gazeta/dias/1807/04/24/pdfs/GMD-1807-36.pdf#page=12","Abrir facsímil")</f>
        <v>Abrir facsímil</v>
      </c>
      <c r="K1943" s="15" t="s">
        <v>22</v>
      </c>
    </row>
    <row r="1944" spans="1:11" ht="42" customHeight="1">
      <c r="A1944" s="4" t="s">
        <v>4796</v>
      </c>
      <c r="B1944" s="5" t="s">
        <v>4797</v>
      </c>
      <c r="C1944" s="5" t="s">
        <v>89</v>
      </c>
      <c r="D1944" s="5" t="s">
        <v>90</v>
      </c>
      <c r="E1944" s="5" t="s">
        <v>414</v>
      </c>
      <c r="F1944" s="9">
        <v>40</v>
      </c>
      <c r="G1944" s="9">
        <v>481</v>
      </c>
      <c r="H1944" s="5" t="s">
        <v>20</v>
      </c>
      <c r="I1944" s="5" t="s">
        <v>4816</v>
      </c>
      <c r="J1944" s="12" t="str">
        <f>HYPERLINK("https://www.boe.es/gazeta/dias/1807/05/08/pdfs/GMD-1807-40.pdf#page=11","Abrir facsímil")</f>
        <v>Abrir facsímil</v>
      </c>
      <c r="K1944" s="15" t="s">
        <v>22</v>
      </c>
    </row>
    <row r="1945" spans="1:11" ht="42" customHeight="1">
      <c r="A1945" s="4" t="s">
        <v>4796</v>
      </c>
      <c r="B1945" s="5" t="s">
        <v>4797</v>
      </c>
      <c r="C1945" s="5" t="s">
        <v>28</v>
      </c>
      <c r="D1945" s="5" t="s">
        <v>29</v>
      </c>
      <c r="E1945" s="5" t="s">
        <v>19</v>
      </c>
      <c r="F1945" s="9">
        <v>41</v>
      </c>
      <c r="G1945" s="9">
        <v>491</v>
      </c>
      <c r="H1945" s="5" t="s">
        <v>20</v>
      </c>
      <c r="I1945" s="5" t="s">
        <v>4817</v>
      </c>
      <c r="J1945" s="12" t="str">
        <f>HYPERLINK("https://www.boe.es/gazeta/dias/1807/05/12/pdfs/GMD-1807-41.pdf#page=9","Abrir facsímil")</f>
        <v>Abrir facsímil</v>
      </c>
      <c r="K1945" s="15" t="s">
        <v>22</v>
      </c>
    </row>
    <row r="1946" spans="1:11" ht="42" customHeight="1">
      <c r="A1946" s="4" t="s">
        <v>4796</v>
      </c>
      <c r="B1946" s="5" t="s">
        <v>4797</v>
      </c>
      <c r="C1946" s="5" t="s">
        <v>34</v>
      </c>
      <c r="D1946" s="5" t="s">
        <v>35</v>
      </c>
      <c r="E1946" s="5" t="s">
        <v>666</v>
      </c>
      <c r="F1946" s="9">
        <v>43</v>
      </c>
      <c r="G1946" s="9">
        <v>515</v>
      </c>
      <c r="H1946" s="5" t="s">
        <v>20</v>
      </c>
      <c r="I1946" s="5" t="s">
        <v>4818</v>
      </c>
      <c r="J1946" s="12" t="str">
        <f>HYPERLINK("https://www.boe.es/gazeta/dias/1807/05/19/pdfs/GMD-1807-43.pdf#page=9","Abrir facsímil")</f>
        <v>Abrir facsímil</v>
      </c>
      <c r="K1946" s="15" t="s">
        <v>22</v>
      </c>
    </row>
    <row r="1947" spans="1:11" ht="42" customHeight="1">
      <c r="A1947" s="4" t="s">
        <v>4796</v>
      </c>
      <c r="B1947" s="5" t="s">
        <v>4797</v>
      </c>
      <c r="C1947" s="5" t="s">
        <v>34</v>
      </c>
      <c r="D1947" s="5" t="s">
        <v>35</v>
      </c>
      <c r="E1947" s="5" t="s">
        <v>25</v>
      </c>
      <c r="F1947" s="9">
        <v>45</v>
      </c>
      <c r="G1947" s="9">
        <v>537</v>
      </c>
      <c r="H1947" s="5" t="s">
        <v>20</v>
      </c>
      <c r="I1947" s="5" t="s">
        <v>4819</v>
      </c>
      <c r="J1947" s="12" t="str">
        <f>HYPERLINK("https://www.boe.es/gazeta/dias/1807/05/26/pdfs/GMD-1807-45.pdf#page=7","Abrir facsímil")</f>
        <v>Abrir facsímil</v>
      </c>
      <c r="K1947" s="15" t="s">
        <v>22</v>
      </c>
    </row>
    <row r="1948" spans="1:11" ht="42" customHeight="1">
      <c r="A1948" s="4" t="s">
        <v>4796</v>
      </c>
      <c r="B1948" s="5" t="s">
        <v>4797</v>
      </c>
      <c r="C1948" s="5" t="s">
        <v>34</v>
      </c>
      <c r="D1948" s="5" t="s">
        <v>35</v>
      </c>
      <c r="E1948" s="5" t="s">
        <v>114</v>
      </c>
      <c r="F1948" s="9">
        <v>46</v>
      </c>
      <c r="G1948" s="9">
        <v>549</v>
      </c>
      <c r="H1948" s="5" t="s">
        <v>20</v>
      </c>
      <c r="I1948" s="5" t="s">
        <v>4820</v>
      </c>
      <c r="J1948" s="12" t="str">
        <f>HYPERLINK("https://www.boe.es/gazeta/dias/1807/05/29/pdfs/GMD-1807-46.pdf#page=7","Abrir facsímil")</f>
        <v>Abrir facsímil</v>
      </c>
      <c r="K1948" s="15" t="s">
        <v>22</v>
      </c>
    </row>
    <row r="1949" spans="1:11" ht="42" customHeight="1">
      <c r="A1949" s="4" t="s">
        <v>4796</v>
      </c>
      <c r="B1949" s="5" t="s">
        <v>4797</v>
      </c>
      <c r="C1949" s="5" t="s">
        <v>28</v>
      </c>
      <c r="D1949" s="5" t="s">
        <v>29</v>
      </c>
      <c r="E1949" s="5" t="s">
        <v>507</v>
      </c>
      <c r="F1949" s="9">
        <v>48</v>
      </c>
      <c r="G1949" s="9">
        <v>570</v>
      </c>
      <c r="H1949" s="5" t="s">
        <v>20</v>
      </c>
      <c r="I1949" s="5" t="s">
        <v>4821</v>
      </c>
      <c r="J1949" s="12" t="str">
        <f>HYPERLINK("https://www.boe.es/gazeta/dias/1807/06/05/pdfs/GMD-1807-48.pdf#page=8","Abrir facsímil")</f>
        <v>Abrir facsímil</v>
      </c>
      <c r="K1949" s="15" t="s">
        <v>22</v>
      </c>
    </row>
    <row r="1950" spans="1:11" ht="42" customHeight="1">
      <c r="A1950" s="4" t="s">
        <v>4796</v>
      </c>
      <c r="B1950" s="5" t="s">
        <v>4797</v>
      </c>
      <c r="C1950" s="5" t="s">
        <v>89</v>
      </c>
      <c r="D1950" s="5" t="s">
        <v>90</v>
      </c>
      <c r="E1950" s="5" t="s">
        <v>507</v>
      </c>
      <c r="F1950" s="9">
        <v>48</v>
      </c>
      <c r="G1950" s="9">
        <v>573</v>
      </c>
      <c r="H1950" s="5" t="s">
        <v>20</v>
      </c>
      <c r="I1950" s="5" t="s">
        <v>4822</v>
      </c>
      <c r="J1950" s="12" t="str">
        <f>HYPERLINK("https://www.boe.es/gazeta/dias/1807/06/05/pdfs/GMD-1807-48.pdf#page=11","Abrir facsímil")</f>
        <v>Abrir facsímil</v>
      </c>
      <c r="K1950" s="15" t="s">
        <v>22</v>
      </c>
    </row>
    <row r="1951" spans="1:11" ht="42" customHeight="1">
      <c r="A1951" s="4" t="s">
        <v>4796</v>
      </c>
      <c r="B1951" s="5" t="s">
        <v>4797</v>
      </c>
      <c r="C1951" s="5" t="s">
        <v>28</v>
      </c>
      <c r="D1951" s="5" t="s">
        <v>29</v>
      </c>
      <c r="E1951" s="5" t="s">
        <v>507</v>
      </c>
      <c r="F1951" s="9">
        <v>48</v>
      </c>
      <c r="G1951" s="9">
        <v>574</v>
      </c>
      <c r="H1951" s="5" t="s">
        <v>20</v>
      </c>
      <c r="I1951" s="5" t="s">
        <v>4823</v>
      </c>
      <c r="J1951" s="12" t="str">
        <f>HYPERLINK("https://www.boe.es/gazeta/dias/1807/06/05/pdfs/GMD-1807-48.pdf#page=12","Abrir facsímil")</f>
        <v>Abrir facsímil</v>
      </c>
      <c r="K1951" s="15" t="s">
        <v>22</v>
      </c>
    </row>
    <row r="1952" spans="1:11" ht="42" customHeight="1">
      <c r="A1952" s="4" t="s">
        <v>4796</v>
      </c>
      <c r="B1952" s="5" t="s">
        <v>4797</v>
      </c>
      <c r="C1952" s="5" t="s">
        <v>89</v>
      </c>
      <c r="D1952" s="5" t="s">
        <v>90</v>
      </c>
      <c r="E1952" s="5" t="s">
        <v>219</v>
      </c>
      <c r="F1952" s="9">
        <v>56</v>
      </c>
      <c r="G1952" s="9">
        <v>673</v>
      </c>
      <c r="H1952" s="5" t="s">
        <v>20</v>
      </c>
      <c r="I1952" s="5" t="s">
        <v>4824</v>
      </c>
      <c r="J1952" s="12" t="str">
        <f>HYPERLINK("https://www.boe.es/gazeta/dias/1807/07/03/pdfs/GMD-1807-56.pdf#page=11","Abrir facsímil")</f>
        <v>Abrir facsímil</v>
      </c>
      <c r="K1952" s="15" t="s">
        <v>22</v>
      </c>
    </row>
    <row r="1953" spans="1:11" ht="42" customHeight="1">
      <c r="A1953" s="4" t="s">
        <v>4796</v>
      </c>
      <c r="B1953" s="5" t="s">
        <v>4797</v>
      </c>
      <c r="C1953" s="5" t="s">
        <v>89</v>
      </c>
      <c r="D1953" s="5" t="s">
        <v>90</v>
      </c>
      <c r="E1953" s="5" t="s">
        <v>109</v>
      </c>
      <c r="F1953" s="9">
        <v>58</v>
      </c>
      <c r="G1953" s="9">
        <v>693</v>
      </c>
      <c r="H1953" s="5" t="s">
        <v>20</v>
      </c>
      <c r="I1953" s="5" t="s">
        <v>4825</v>
      </c>
      <c r="J1953" s="12" t="str">
        <f>HYPERLINK("https://www.boe.es/gazeta/dias/1807/07/07/pdfs/GMD-1807-58.pdf#page=11","Abrir facsímil")</f>
        <v>Abrir facsímil</v>
      </c>
      <c r="K1953" s="15" t="s">
        <v>22</v>
      </c>
    </row>
    <row r="1954" spans="1:11" ht="42" customHeight="1">
      <c r="A1954" s="4" t="s">
        <v>4796</v>
      </c>
      <c r="B1954" s="5" t="s">
        <v>4797</v>
      </c>
      <c r="C1954" s="5" t="s">
        <v>28</v>
      </c>
      <c r="D1954" s="5" t="s">
        <v>29</v>
      </c>
      <c r="E1954" s="5" t="s">
        <v>152</v>
      </c>
      <c r="F1954" s="9">
        <v>61</v>
      </c>
      <c r="G1954" s="9">
        <v>725</v>
      </c>
      <c r="H1954" s="5" t="s">
        <v>20</v>
      </c>
      <c r="I1954" s="5" t="s">
        <v>4826</v>
      </c>
      <c r="J1954" s="12" t="str">
        <f>HYPERLINK("https://www.boe.es/gazeta/dias/1807/07/14/pdfs/GMD-1807-61.pdf#page=11","Abrir facsímil")</f>
        <v>Abrir facsímil</v>
      </c>
      <c r="K1954" s="15" t="s">
        <v>22</v>
      </c>
    </row>
    <row r="1955" spans="1:11" ht="42" customHeight="1">
      <c r="A1955" s="4" t="s">
        <v>4796</v>
      </c>
      <c r="B1955" s="5" t="s">
        <v>4797</v>
      </c>
      <c r="C1955" s="5" t="s">
        <v>89</v>
      </c>
      <c r="D1955" s="5" t="s">
        <v>90</v>
      </c>
      <c r="E1955" s="5" t="s">
        <v>51</v>
      </c>
      <c r="F1955" s="9">
        <v>62</v>
      </c>
      <c r="G1955" s="9">
        <v>734</v>
      </c>
      <c r="H1955" s="5" t="s">
        <v>20</v>
      </c>
      <c r="I1955" s="5" t="s">
        <v>4827</v>
      </c>
      <c r="J1955" s="12" t="str">
        <f>HYPERLINK("https://www.boe.es/gazeta/dias/1807/07/17/pdfs/GMD-1807-62.pdf#page=8","Abrir facsímil")</f>
        <v>Abrir facsímil</v>
      </c>
      <c r="K1955" s="15" t="s">
        <v>22</v>
      </c>
    </row>
    <row r="1956" spans="1:11" ht="42" customHeight="1">
      <c r="A1956" s="4" t="s">
        <v>4796</v>
      </c>
      <c r="B1956" s="5" t="s">
        <v>4797</v>
      </c>
      <c r="C1956" s="5" t="s">
        <v>28</v>
      </c>
      <c r="D1956" s="5" t="s">
        <v>29</v>
      </c>
      <c r="E1956" s="5" t="s">
        <v>266</v>
      </c>
      <c r="F1956" s="9">
        <v>67</v>
      </c>
      <c r="G1956" s="9">
        <v>771</v>
      </c>
      <c r="H1956" s="5" t="s">
        <v>20</v>
      </c>
      <c r="I1956" s="5" t="s">
        <v>4828</v>
      </c>
      <c r="J1956" s="12" t="str">
        <f>HYPERLINK("https://www.boe.es/gazeta/dias/1807/07/28/pdfs/GMD-1807-67.pdf#page=7","Abrir facsímil")</f>
        <v>Abrir facsímil</v>
      </c>
      <c r="K1956" s="15" t="s">
        <v>22</v>
      </c>
    </row>
    <row r="1957" spans="1:11" ht="42" customHeight="1">
      <c r="A1957" s="4" t="s">
        <v>4796</v>
      </c>
      <c r="B1957" s="5" t="s">
        <v>4797</v>
      </c>
      <c r="C1957" s="5" t="s">
        <v>34</v>
      </c>
      <c r="D1957" s="5" t="s">
        <v>35</v>
      </c>
      <c r="E1957" s="5" t="s">
        <v>62</v>
      </c>
      <c r="F1957" s="9">
        <v>68</v>
      </c>
      <c r="G1957" s="9">
        <v>784</v>
      </c>
      <c r="H1957" s="5" t="s">
        <v>20</v>
      </c>
      <c r="I1957" s="5" t="s">
        <v>4829</v>
      </c>
      <c r="J1957" s="12" t="str">
        <f>HYPERLINK("https://www.boe.es/gazeta/dias/1807/07/31/pdfs/GMD-1807-68.pdf#page=8","Abrir facsímil")</f>
        <v>Abrir facsímil</v>
      </c>
      <c r="K1957" s="15" t="s">
        <v>22</v>
      </c>
    </row>
    <row r="1958" spans="1:11" ht="42" customHeight="1">
      <c r="A1958" s="4" t="s">
        <v>4796</v>
      </c>
      <c r="B1958" s="5" t="s">
        <v>4797</v>
      </c>
      <c r="C1958" s="5" t="s">
        <v>89</v>
      </c>
      <c r="D1958" s="5" t="s">
        <v>90</v>
      </c>
      <c r="E1958" s="5" t="s">
        <v>581</v>
      </c>
      <c r="F1958" s="9">
        <v>71</v>
      </c>
      <c r="G1958" s="9">
        <v>818</v>
      </c>
      <c r="H1958" s="5" t="s">
        <v>20</v>
      </c>
      <c r="I1958" s="5" t="s">
        <v>4830</v>
      </c>
      <c r="J1958" s="12" t="str">
        <f>HYPERLINK("https://www.boe.es/gazeta/dias/1807/08/07/pdfs/GMD-1807-71.pdf#page=10","Abrir facsímil")</f>
        <v>Abrir facsímil</v>
      </c>
      <c r="K1958" s="15" t="s">
        <v>22</v>
      </c>
    </row>
    <row r="1959" spans="1:11" ht="42" customHeight="1">
      <c r="A1959" s="4" t="s">
        <v>4796</v>
      </c>
      <c r="B1959" s="5" t="s">
        <v>4797</v>
      </c>
      <c r="C1959" s="5" t="s">
        <v>28</v>
      </c>
      <c r="D1959" s="5" t="s">
        <v>29</v>
      </c>
      <c r="E1959" s="5" t="s">
        <v>581</v>
      </c>
      <c r="F1959" s="9">
        <v>71</v>
      </c>
      <c r="G1959" s="9">
        <v>820</v>
      </c>
      <c r="H1959" s="5" t="s">
        <v>20</v>
      </c>
      <c r="I1959" s="5" t="s">
        <v>4831</v>
      </c>
      <c r="J1959" s="12" t="str">
        <f>HYPERLINK("https://www.boe.es/gazeta/dias/1807/08/07/pdfs/GMD-1807-71.pdf#page=12","Abrir facsímil")</f>
        <v>Abrir facsímil</v>
      </c>
      <c r="K1959" s="15" t="s">
        <v>22</v>
      </c>
    </row>
    <row r="1960" spans="1:11" ht="42" customHeight="1">
      <c r="A1960" s="4" t="s">
        <v>4796</v>
      </c>
      <c r="B1960" s="5" t="s">
        <v>4797</v>
      </c>
      <c r="C1960" s="5" t="s">
        <v>28</v>
      </c>
      <c r="D1960" s="5" t="s">
        <v>29</v>
      </c>
      <c r="E1960" s="5" t="s">
        <v>156</v>
      </c>
      <c r="F1960" s="9">
        <v>74</v>
      </c>
      <c r="G1960" s="9">
        <v>854</v>
      </c>
      <c r="H1960" s="5" t="s">
        <v>20</v>
      </c>
      <c r="I1960" s="5" t="s">
        <v>4832</v>
      </c>
      <c r="J1960" s="12" t="str">
        <f>HYPERLINK("https://www.boe.es/gazeta/dias/1807/08/18/pdfs/GMD-1807-74.pdf#page=6","Abrir facsímil")</f>
        <v>Abrir facsímil</v>
      </c>
      <c r="K1960" s="15" t="s">
        <v>22</v>
      </c>
    </row>
    <row r="1961" spans="1:11" ht="42" customHeight="1">
      <c r="A1961" s="4" t="s">
        <v>4796</v>
      </c>
      <c r="B1961" s="5" t="s">
        <v>4797</v>
      </c>
      <c r="C1961" s="5" t="s">
        <v>28</v>
      </c>
      <c r="D1961" s="5" t="s">
        <v>29</v>
      </c>
      <c r="E1961" s="5" t="s">
        <v>167</v>
      </c>
      <c r="F1961" s="9">
        <v>77</v>
      </c>
      <c r="G1961" s="9">
        <v>896</v>
      </c>
      <c r="H1961" s="5" t="s">
        <v>20</v>
      </c>
      <c r="I1961" s="5" t="s">
        <v>4833</v>
      </c>
      <c r="J1961" s="12" t="str">
        <f>HYPERLINK("https://www.boe.es/gazeta/dias/1807/08/28/pdfs/GMD-1807-77.pdf#page=12","Abrir facsímil")</f>
        <v>Abrir facsímil</v>
      </c>
      <c r="K1961" s="15" t="s">
        <v>22</v>
      </c>
    </row>
    <row r="1962" spans="1:11" ht="42" customHeight="1">
      <c r="A1962" s="4" t="s">
        <v>4796</v>
      </c>
      <c r="B1962" s="5" t="s">
        <v>4797</v>
      </c>
      <c r="C1962" s="5" t="s">
        <v>28</v>
      </c>
      <c r="D1962" s="5" t="s">
        <v>29</v>
      </c>
      <c r="E1962" s="5" t="s">
        <v>530</v>
      </c>
      <c r="F1962" s="9">
        <v>79</v>
      </c>
      <c r="G1962" s="9">
        <v>917</v>
      </c>
      <c r="H1962" s="5" t="s">
        <v>20</v>
      </c>
      <c r="I1962" s="5" t="s">
        <v>4834</v>
      </c>
      <c r="J1962" s="12" t="str">
        <f>HYPERLINK("https://www.boe.es/gazeta/dias/1807/09/04/pdfs/GMD-1807-79.pdf#page=9","Abrir facsímil")</f>
        <v>Abrir facsímil</v>
      </c>
      <c r="K1962" s="15" t="s">
        <v>22</v>
      </c>
    </row>
    <row r="1963" spans="1:11" ht="42" customHeight="1">
      <c r="A1963" s="4" t="s">
        <v>4796</v>
      </c>
      <c r="B1963" s="5" t="s">
        <v>4797</v>
      </c>
      <c r="C1963" s="5" t="s">
        <v>28</v>
      </c>
      <c r="D1963" s="5" t="s">
        <v>29</v>
      </c>
      <c r="E1963" s="5" t="s">
        <v>127</v>
      </c>
      <c r="F1963" s="9">
        <v>81</v>
      </c>
      <c r="G1963" s="9">
        <v>945</v>
      </c>
      <c r="H1963" s="5" t="s">
        <v>20</v>
      </c>
      <c r="I1963" s="5" t="s">
        <v>4835</v>
      </c>
      <c r="J1963" s="12" t="str">
        <f>HYPERLINK("https://www.boe.es/gazeta/dias/1807/09/11/pdfs/GMD-1807-81.pdf#page=9","Abrir facsímil")</f>
        <v>Abrir facsímil</v>
      </c>
      <c r="K1963" s="15" t="s">
        <v>22</v>
      </c>
    </row>
    <row r="1964" spans="1:11" ht="42" customHeight="1">
      <c r="A1964" s="4" t="s">
        <v>4796</v>
      </c>
      <c r="B1964" s="5" t="s">
        <v>4797</v>
      </c>
      <c r="C1964" s="5" t="s">
        <v>89</v>
      </c>
      <c r="D1964" s="5" t="s">
        <v>90</v>
      </c>
      <c r="E1964" s="5" t="s">
        <v>127</v>
      </c>
      <c r="F1964" s="9">
        <v>81</v>
      </c>
      <c r="G1964" s="9">
        <v>948</v>
      </c>
      <c r="H1964" s="5" t="s">
        <v>20</v>
      </c>
      <c r="I1964" s="5" t="s">
        <v>4836</v>
      </c>
      <c r="J1964" s="12" t="str">
        <f>HYPERLINK("https://www.boe.es/gazeta/dias/1807/09/11/pdfs/GMD-1807-81.pdf#page=12","Abrir facsímil")</f>
        <v>Abrir facsímil</v>
      </c>
      <c r="K1964" s="15" t="s">
        <v>22</v>
      </c>
    </row>
    <row r="1965" spans="1:11" ht="42" customHeight="1">
      <c r="A1965" s="4" t="s">
        <v>4796</v>
      </c>
      <c r="B1965" s="5" t="s">
        <v>4797</v>
      </c>
      <c r="C1965" s="5" t="s">
        <v>34</v>
      </c>
      <c r="D1965" s="5" t="s">
        <v>35</v>
      </c>
      <c r="E1965" s="5" t="s">
        <v>406</v>
      </c>
      <c r="F1965" s="9">
        <v>82</v>
      </c>
      <c r="G1965" s="9">
        <v>957</v>
      </c>
      <c r="H1965" s="5" t="s">
        <v>20</v>
      </c>
      <c r="I1965" s="5" t="s">
        <v>4837</v>
      </c>
      <c r="J1965" s="12" t="str">
        <f>HYPERLINK("https://www.boe.es/gazeta/dias/1807/09/15/pdfs/GMD-1807-82.pdf#page=9","Abrir facsímil")</f>
        <v>Abrir facsímil</v>
      </c>
      <c r="K1965" s="15" t="s">
        <v>22</v>
      </c>
    </row>
    <row r="1966" spans="1:11" ht="42" customHeight="1">
      <c r="A1966" s="4" t="s">
        <v>4796</v>
      </c>
      <c r="B1966" s="5" t="s">
        <v>4797</v>
      </c>
      <c r="C1966" s="5" t="s">
        <v>89</v>
      </c>
      <c r="D1966" s="5" t="s">
        <v>90</v>
      </c>
      <c r="E1966" s="5" t="s">
        <v>1354</v>
      </c>
      <c r="F1966" s="9">
        <v>83</v>
      </c>
      <c r="G1966" s="9">
        <v>972</v>
      </c>
      <c r="H1966" s="5" t="s">
        <v>20</v>
      </c>
      <c r="I1966" s="5" t="s">
        <v>4838</v>
      </c>
      <c r="J1966" s="12" t="str">
        <f>HYPERLINK("https://www.boe.es/gazeta/dias/1807/09/18/pdfs/GMD-1807-83.pdf#page=12","Abrir facsímil")</f>
        <v>Abrir facsímil</v>
      </c>
      <c r="K1966" s="15" t="s">
        <v>22</v>
      </c>
    </row>
    <row r="1967" spans="1:11" ht="42" customHeight="1">
      <c r="A1967" s="4" t="s">
        <v>4796</v>
      </c>
      <c r="B1967" s="5" t="s">
        <v>4797</v>
      </c>
      <c r="C1967" s="5" t="s">
        <v>34</v>
      </c>
      <c r="D1967" s="5" t="s">
        <v>35</v>
      </c>
      <c r="E1967" s="5" t="s">
        <v>929</v>
      </c>
      <c r="F1967" s="9">
        <v>85</v>
      </c>
      <c r="G1967" s="9">
        <v>996</v>
      </c>
      <c r="H1967" s="5" t="s">
        <v>20</v>
      </c>
      <c r="I1967" s="5" t="s">
        <v>4839</v>
      </c>
      <c r="J1967" s="12" t="str">
        <f>HYPERLINK("https://www.boe.es/gazeta/dias/1807/09/25/pdfs/GMD-1807-85.pdf#page=12","Abrir facsímil")</f>
        <v>Abrir facsímil</v>
      </c>
      <c r="K1967" s="15" t="s">
        <v>22</v>
      </c>
    </row>
    <row r="1968" spans="1:11" ht="42" customHeight="1">
      <c r="A1968" s="4" t="s">
        <v>4796</v>
      </c>
      <c r="B1968" s="5" t="s">
        <v>4797</v>
      </c>
      <c r="C1968" s="5" t="s">
        <v>252</v>
      </c>
      <c r="D1968" s="5" t="s">
        <v>253</v>
      </c>
      <c r="E1968" s="5" t="s">
        <v>615</v>
      </c>
      <c r="F1968" s="9" t="s">
        <v>616</v>
      </c>
      <c r="G1968" s="9">
        <v>999</v>
      </c>
      <c r="H1968" s="5" t="s">
        <v>20</v>
      </c>
      <c r="I1968" s="5" t="s">
        <v>4840</v>
      </c>
      <c r="J1968" s="12" t="str">
        <f>HYPERLINK("https://www.boe.es/gazeta/dias/1807/09/27/pdfs/GMD-1807-86E.pdf#page=3","Abrir facsímil")</f>
        <v>Abrir facsímil</v>
      </c>
      <c r="K1968" s="15" t="s">
        <v>22</v>
      </c>
    </row>
    <row r="1969" spans="1:11" ht="42" customHeight="1">
      <c r="A1969" s="4" t="s">
        <v>4796</v>
      </c>
      <c r="B1969" s="5" t="s">
        <v>4797</v>
      </c>
      <c r="C1969" s="5" t="s">
        <v>34</v>
      </c>
      <c r="D1969" s="5" t="s">
        <v>35</v>
      </c>
      <c r="E1969" s="5" t="s">
        <v>654</v>
      </c>
      <c r="F1969" s="9">
        <v>94</v>
      </c>
      <c r="G1969" s="9">
        <v>1093</v>
      </c>
      <c r="H1969" s="5" t="s">
        <v>20</v>
      </c>
      <c r="I1969" s="5" t="s">
        <v>4841</v>
      </c>
      <c r="J1969" s="12" t="str">
        <f>HYPERLINK("https://www.boe.es/gazeta/dias/1807/10/20/pdfs/GMD-1807-94.pdf#page=9","Abrir facsímil")</f>
        <v>Abrir facsímil</v>
      </c>
      <c r="K1969" s="15" t="s">
        <v>22</v>
      </c>
    </row>
    <row r="1970" spans="1:11" ht="42" customHeight="1">
      <c r="A1970" s="4" t="s">
        <v>4796</v>
      </c>
      <c r="B1970" s="5" t="s">
        <v>4797</v>
      </c>
      <c r="C1970" s="5" t="s">
        <v>89</v>
      </c>
      <c r="D1970" s="5" t="s">
        <v>90</v>
      </c>
      <c r="E1970" s="5" t="s">
        <v>654</v>
      </c>
      <c r="F1970" s="9">
        <v>94</v>
      </c>
      <c r="G1970" s="9">
        <v>1096</v>
      </c>
      <c r="H1970" s="5" t="s">
        <v>20</v>
      </c>
      <c r="I1970" s="5" t="s">
        <v>4842</v>
      </c>
      <c r="J1970" s="12" t="str">
        <f>HYPERLINK("https://www.boe.es/gazeta/dias/1807/10/20/pdfs/GMD-1807-94.pdf#page=12","Abrir facsímil")</f>
        <v>Abrir facsímil</v>
      </c>
      <c r="K1970" s="15" t="s">
        <v>22</v>
      </c>
    </row>
    <row r="1971" spans="1:11" ht="42" customHeight="1">
      <c r="A1971" s="4" t="s">
        <v>4796</v>
      </c>
      <c r="B1971" s="5" t="s">
        <v>4797</v>
      </c>
      <c r="C1971" s="5" t="s">
        <v>24</v>
      </c>
      <c r="D1971" s="5" t="s">
        <v>18</v>
      </c>
      <c r="E1971" s="5" t="s">
        <v>444</v>
      </c>
      <c r="F1971" s="9">
        <v>95</v>
      </c>
      <c r="G1971" s="9">
        <v>1105</v>
      </c>
      <c r="H1971" s="5" t="s">
        <v>20</v>
      </c>
      <c r="I1971" s="5" t="s">
        <v>4843</v>
      </c>
      <c r="J1971" s="12" t="str">
        <f>HYPERLINK("https://www.boe.es/gazeta/dias/1807/10/23/pdfs/GMD-1807-95.pdf#page=9","Abrir facsímil")</f>
        <v>Abrir facsímil</v>
      </c>
      <c r="K1971" s="15" t="s">
        <v>22</v>
      </c>
    </row>
    <row r="1972" spans="1:11" ht="42" customHeight="1">
      <c r="A1972" s="4" t="s">
        <v>4796</v>
      </c>
      <c r="B1972" s="5" t="s">
        <v>4797</v>
      </c>
      <c r="C1972" s="5" t="s">
        <v>89</v>
      </c>
      <c r="D1972" s="5" t="s">
        <v>90</v>
      </c>
      <c r="E1972" s="5" t="s">
        <v>245</v>
      </c>
      <c r="F1972" s="9">
        <v>97</v>
      </c>
      <c r="G1972" s="9">
        <v>1132</v>
      </c>
      <c r="H1972" s="5" t="s">
        <v>20</v>
      </c>
      <c r="I1972" s="5" t="s">
        <v>4844</v>
      </c>
      <c r="J1972" s="12" t="str">
        <f>HYPERLINK("https://www.boe.es/gazeta/dias/1807/10/30/pdfs/GMD-1807-97.pdf#page=12","Abrir facsímil")</f>
        <v>Abrir facsímil</v>
      </c>
      <c r="K1972" s="15" t="s">
        <v>22</v>
      </c>
    </row>
    <row r="1973" spans="1:11" ht="42" customHeight="1">
      <c r="A1973" s="4" t="s">
        <v>4796</v>
      </c>
      <c r="B1973" s="5" t="s">
        <v>4797</v>
      </c>
      <c r="C1973" s="5" t="s">
        <v>28</v>
      </c>
      <c r="D1973" s="5" t="s">
        <v>29</v>
      </c>
      <c r="E1973" s="5" t="s">
        <v>754</v>
      </c>
      <c r="F1973" s="9">
        <v>103</v>
      </c>
      <c r="G1973" s="9">
        <v>1202</v>
      </c>
      <c r="H1973" s="5" t="s">
        <v>20</v>
      </c>
      <c r="I1973" s="5" t="s">
        <v>4845</v>
      </c>
      <c r="J1973" s="12" t="str">
        <f>HYPERLINK("https://www.boe.es/gazeta/dias/1807/11/20/pdfs/GMD-1807-103.pdf#page=10","Abrir facsímil")</f>
        <v>Abrir facsímil</v>
      </c>
      <c r="K1973" s="15" t="s">
        <v>22</v>
      </c>
    </row>
    <row r="1974" spans="1:11" ht="42" customHeight="1">
      <c r="A1974" s="4" t="s">
        <v>4796</v>
      </c>
      <c r="B1974" s="5" t="s">
        <v>4797</v>
      </c>
      <c r="C1974" s="5" t="s">
        <v>252</v>
      </c>
      <c r="D1974" s="5" t="s">
        <v>253</v>
      </c>
      <c r="E1974" s="5" t="s">
        <v>314</v>
      </c>
      <c r="F1974" s="9" t="s">
        <v>315</v>
      </c>
      <c r="G1974" s="9">
        <v>1223</v>
      </c>
      <c r="H1974" s="5" t="s">
        <v>20</v>
      </c>
      <c r="I1974" s="5" t="s">
        <v>4846</v>
      </c>
      <c r="J1974" s="12" t="str">
        <f>HYPERLINK("https://www.boe.es/gazeta/dias/1807/11/26/pdfs/GMD-1807-105E.pdf#page=7","Abrir facsímil")</f>
        <v>Abrir facsímil</v>
      </c>
      <c r="K1974" s="15" t="s">
        <v>22</v>
      </c>
    </row>
    <row r="1975" spans="1:11" ht="42" customHeight="1">
      <c r="A1975" s="4" t="s">
        <v>4847</v>
      </c>
      <c r="B1975" s="5" t="s">
        <v>4848</v>
      </c>
      <c r="C1975" s="5" t="s">
        <v>28</v>
      </c>
      <c r="D1975" s="5" t="s">
        <v>29</v>
      </c>
      <c r="E1975" s="5" t="s">
        <v>83</v>
      </c>
      <c r="F1975" s="9">
        <v>50</v>
      </c>
      <c r="G1975" s="9">
        <v>595</v>
      </c>
      <c r="H1975" s="5" t="s">
        <v>20</v>
      </c>
      <c r="I1975" s="5" t="s">
        <v>4849</v>
      </c>
      <c r="J1975" s="12" t="str">
        <f>HYPERLINK("https://www.boe.es/gazeta/dias/1807/06/12/pdfs/GMD-1807-50.pdf#page=9","Abrir facsímil")</f>
        <v>Abrir facsímil</v>
      </c>
      <c r="K1975" s="15" t="s">
        <v>22</v>
      </c>
    </row>
    <row r="1976" spans="1:11" ht="42" customHeight="1">
      <c r="A1976" s="4" t="s">
        <v>4850</v>
      </c>
      <c r="B1976" s="5" t="s">
        <v>4851</v>
      </c>
      <c r="C1976" s="5" t="s">
        <v>28</v>
      </c>
      <c r="D1976" s="5" t="s">
        <v>29</v>
      </c>
      <c r="E1976" s="5" t="s">
        <v>76</v>
      </c>
      <c r="F1976" s="9">
        <v>7</v>
      </c>
      <c r="G1976" s="9">
        <v>74</v>
      </c>
      <c r="H1976" s="5" t="s">
        <v>20</v>
      </c>
      <c r="I1976" s="5" t="s">
        <v>4852</v>
      </c>
      <c r="J1976" s="12" t="str">
        <f>HYPERLINK("https://www.boe.es/gazeta/dias/1807/01/20/pdfs/GMD-1807-7.pdf#page=6","Abrir facsímil")</f>
        <v>Abrir facsímil</v>
      </c>
      <c r="K1976" s="15" t="s">
        <v>22</v>
      </c>
    </row>
    <row r="1977" spans="1:11" ht="42" customHeight="1">
      <c r="A1977" s="4" t="s">
        <v>4853</v>
      </c>
      <c r="B1977" s="5" t="s">
        <v>4854</v>
      </c>
      <c r="C1977" s="5" t="s">
        <v>34</v>
      </c>
      <c r="D1977" s="5" t="s">
        <v>35</v>
      </c>
      <c r="E1977" s="5" t="s">
        <v>390</v>
      </c>
      <c r="F1977" s="9">
        <v>24</v>
      </c>
      <c r="G1977" s="9">
        <v>292</v>
      </c>
      <c r="H1977" s="5" t="s">
        <v>20</v>
      </c>
      <c r="I1977" s="5" t="s">
        <v>4855</v>
      </c>
      <c r="J1977" s="12" t="str">
        <f>HYPERLINK("https://www.boe.es/gazeta/dias/1807/03/13/pdfs/GMD-1807-24.pdf#page=16","Abrir facsímil")</f>
        <v>Abrir facsímil</v>
      </c>
      <c r="K1977" s="15" t="s">
        <v>22</v>
      </c>
    </row>
    <row r="1978" spans="1:11" ht="42" customHeight="1">
      <c r="A1978" s="4" t="s">
        <v>4853</v>
      </c>
      <c r="B1978" s="5" t="s">
        <v>4854</v>
      </c>
      <c r="C1978" s="5" t="s">
        <v>34</v>
      </c>
      <c r="D1978" s="5" t="s">
        <v>35</v>
      </c>
      <c r="E1978" s="5" t="s">
        <v>19</v>
      </c>
      <c r="F1978" s="9">
        <v>41</v>
      </c>
      <c r="G1978" s="9">
        <v>490</v>
      </c>
      <c r="H1978" s="5" t="s">
        <v>20</v>
      </c>
      <c r="I1978" s="5" t="s">
        <v>4856</v>
      </c>
      <c r="J1978" s="12" t="str">
        <f>HYPERLINK("https://www.boe.es/gazeta/dias/1807/05/12/pdfs/GMD-1807-41.pdf#page=8","Abrir facsímil")</f>
        <v>Abrir facsímil</v>
      </c>
      <c r="K1978" s="15" t="s">
        <v>22</v>
      </c>
    </row>
    <row r="1979" spans="1:11" ht="42" customHeight="1">
      <c r="A1979" s="4" t="s">
        <v>4853</v>
      </c>
      <c r="B1979" s="5" t="s">
        <v>4854</v>
      </c>
      <c r="C1979" s="5" t="s">
        <v>28</v>
      </c>
      <c r="D1979" s="5" t="s">
        <v>29</v>
      </c>
      <c r="E1979" s="5" t="s">
        <v>135</v>
      </c>
      <c r="F1979" s="9">
        <v>80</v>
      </c>
      <c r="G1979" s="9">
        <v>932</v>
      </c>
      <c r="H1979" s="5" t="s">
        <v>20</v>
      </c>
      <c r="I1979" s="5" t="s">
        <v>4857</v>
      </c>
      <c r="J1979" s="12" t="str">
        <f>HYPERLINK("https://www.boe.es/gazeta/dias/1807/09/08/pdfs/GMD-1807-80.pdf#page=8","Abrir facsímil")</f>
        <v>Abrir facsímil</v>
      </c>
      <c r="K1979" s="15" t="s">
        <v>22</v>
      </c>
    </row>
    <row r="1980" spans="1:11" ht="42" customHeight="1">
      <c r="A1980" s="4" t="s">
        <v>4858</v>
      </c>
      <c r="B1980" s="5" t="s">
        <v>4858</v>
      </c>
      <c r="C1980" s="5" t="s">
        <v>24</v>
      </c>
      <c r="D1980" s="5" t="s">
        <v>18</v>
      </c>
      <c r="E1980" s="5" t="s">
        <v>426</v>
      </c>
      <c r="F1980" s="9">
        <v>93</v>
      </c>
      <c r="G1980" s="9">
        <v>1079</v>
      </c>
      <c r="H1980" s="5" t="s">
        <v>20</v>
      </c>
      <c r="I1980" s="5" t="s">
        <v>4859</v>
      </c>
      <c r="J1980" s="12" t="str">
        <f>HYPERLINK("https://www.boe.es/gazeta/dias/1807/10/16/pdfs/GMD-1807-93.pdf#page=7","Abrir facsímil")</f>
        <v>Abrir facsímil</v>
      </c>
      <c r="K1980" s="15" t="s">
        <v>22</v>
      </c>
    </row>
    <row r="1981" spans="1:11" ht="42" customHeight="1">
      <c r="A1981" s="4" t="s">
        <v>4860</v>
      </c>
      <c r="B1981" s="5" t="s">
        <v>4861</v>
      </c>
      <c r="C1981" s="5" t="s">
        <v>34</v>
      </c>
      <c r="D1981" s="5" t="s">
        <v>35</v>
      </c>
      <c r="E1981" s="5" t="s">
        <v>86</v>
      </c>
      <c r="F1981" s="9">
        <v>12</v>
      </c>
      <c r="G1981" s="9">
        <v>136</v>
      </c>
      <c r="H1981" s="5" t="s">
        <v>20</v>
      </c>
      <c r="I1981" s="5" t="s">
        <v>4862</v>
      </c>
      <c r="J1981" s="12" t="str">
        <f>HYPERLINK("https://www.boe.es/gazeta/dias/1807/02/03/pdfs/GMD-1807-12.pdf#page=8","Abrir facsímil")</f>
        <v>Abrir facsímil</v>
      </c>
      <c r="K1981" s="15" t="s">
        <v>22</v>
      </c>
    </row>
    <row r="1982" spans="1:11" ht="42" customHeight="1">
      <c r="A1982" s="4" t="s">
        <v>4863</v>
      </c>
      <c r="B1982" s="5" t="s">
        <v>4863</v>
      </c>
      <c r="C1982" s="5" t="s">
        <v>49</v>
      </c>
      <c r="D1982" s="5" t="s">
        <v>50</v>
      </c>
      <c r="E1982" s="5" t="s">
        <v>83</v>
      </c>
      <c r="F1982" s="9">
        <v>50</v>
      </c>
      <c r="G1982" s="9">
        <v>590</v>
      </c>
      <c r="H1982" s="5" t="s">
        <v>20</v>
      </c>
      <c r="I1982" s="5" t="s">
        <v>4864</v>
      </c>
      <c r="J1982" s="12" t="str">
        <f>HYPERLINK("https://www.boe.es/gazeta/dias/1807/06/12/pdfs/GMD-1807-50.pdf#page=4","Abrir facsímil")</f>
        <v>Abrir facsímil</v>
      </c>
      <c r="K1982" s="15" t="s">
        <v>22</v>
      </c>
    </row>
    <row r="1983" spans="1:11" ht="42" customHeight="1">
      <c r="A1983" s="4" t="s">
        <v>4865</v>
      </c>
      <c r="B1983" s="5" t="s">
        <v>4865</v>
      </c>
      <c r="C1983" s="5" t="s">
        <v>34</v>
      </c>
      <c r="D1983" s="5" t="s">
        <v>35</v>
      </c>
      <c r="E1983" s="5" t="s">
        <v>615</v>
      </c>
      <c r="F1983" s="9" t="s">
        <v>616</v>
      </c>
      <c r="G1983" s="9">
        <v>1000</v>
      </c>
      <c r="H1983" s="5" t="s">
        <v>20</v>
      </c>
      <c r="I1983" s="5" t="s">
        <v>4866</v>
      </c>
      <c r="J1983" s="12" t="str">
        <f>HYPERLINK("https://www.boe.es/gazeta/dias/1807/09/27/pdfs/GMD-1807-86E.pdf#page=4","Abrir facsímil")</f>
        <v>Abrir facsímil</v>
      </c>
      <c r="K1983" s="15" t="s">
        <v>22</v>
      </c>
    </row>
    <row r="1984" spans="1:11" ht="42" customHeight="1">
      <c r="A1984" s="4" t="s">
        <v>4867</v>
      </c>
      <c r="B1984" s="5" t="s">
        <v>4867</v>
      </c>
      <c r="C1984" s="5" t="s">
        <v>28</v>
      </c>
      <c r="D1984" s="5" t="s">
        <v>29</v>
      </c>
      <c r="E1984" s="5" t="s">
        <v>686</v>
      </c>
      <c r="F1984" s="9">
        <v>106</v>
      </c>
      <c r="G1984" s="9">
        <v>1238</v>
      </c>
      <c r="H1984" s="5" t="s">
        <v>20</v>
      </c>
      <c r="I1984" s="5" t="s">
        <v>4868</v>
      </c>
      <c r="J1984" s="12" t="str">
        <f>HYPERLINK("https://www.boe.es/gazeta/dias/1807/11/27/pdfs/GMD-1807-106.pdf#page=10","Abrir facsímil")</f>
        <v>Abrir facsímil</v>
      </c>
      <c r="K1984" s="15" t="s">
        <v>22</v>
      </c>
    </row>
    <row r="1985" spans="1:11" ht="42" customHeight="1">
      <c r="A1985" s="4" t="s">
        <v>4869</v>
      </c>
      <c r="B1985" s="5" t="s">
        <v>4870</v>
      </c>
      <c r="C1985" s="5" t="s">
        <v>89</v>
      </c>
      <c r="D1985" s="5" t="s">
        <v>90</v>
      </c>
      <c r="E1985" s="5" t="s">
        <v>471</v>
      </c>
      <c r="F1985" s="9">
        <v>51</v>
      </c>
      <c r="G1985" s="9">
        <v>600</v>
      </c>
      <c r="H1985" s="5" t="s">
        <v>20</v>
      </c>
      <c r="I1985" s="5" t="s">
        <v>4871</v>
      </c>
      <c r="J1985" s="12" t="str">
        <f>HYPERLINK("https://www.boe.es/gazeta/dias/1807/06/16/pdfs/GMD-1807-51.pdf#page=2","Abrir facsímil")</f>
        <v>Abrir facsímil</v>
      </c>
      <c r="K1985" s="15" t="s">
        <v>22</v>
      </c>
    </row>
    <row r="1986" spans="1:11" ht="42" customHeight="1">
      <c r="A1986" s="4" t="s">
        <v>4872</v>
      </c>
      <c r="B1986" s="5" t="s">
        <v>4872</v>
      </c>
      <c r="C1986" s="5" t="s">
        <v>28</v>
      </c>
      <c r="D1986" s="5" t="s">
        <v>29</v>
      </c>
      <c r="E1986" s="5" t="s">
        <v>123</v>
      </c>
      <c r="F1986" s="9">
        <v>70</v>
      </c>
      <c r="G1986" s="9">
        <v>807</v>
      </c>
      <c r="H1986" s="5" t="s">
        <v>20</v>
      </c>
      <c r="I1986" s="5" t="s">
        <v>4873</v>
      </c>
      <c r="J1986" s="12" t="str">
        <f>HYPERLINK("https://www.boe.es/gazeta/dias/1807/08/04/pdfs/GMD-1807-70.pdf#page=11","Abrir facsímil")</f>
        <v>Abrir facsímil</v>
      </c>
      <c r="K1986" s="15" t="s">
        <v>22</v>
      </c>
    </row>
    <row r="1987" spans="1:11" ht="42" customHeight="1">
      <c r="A1987" s="4" t="s">
        <v>4874</v>
      </c>
      <c r="B1987" s="5" t="s">
        <v>4875</v>
      </c>
      <c r="C1987" s="5" t="s">
        <v>69</v>
      </c>
      <c r="D1987" s="5" t="s">
        <v>70</v>
      </c>
      <c r="E1987" s="5" t="s">
        <v>71</v>
      </c>
      <c r="F1987" s="9">
        <v>35</v>
      </c>
      <c r="G1987" s="9" t="s">
        <v>197</v>
      </c>
      <c r="H1987" s="5" t="s">
        <v>20</v>
      </c>
      <c r="I1987" s="5" t="s">
        <v>4876</v>
      </c>
      <c r="J1987" s="12" t="str">
        <f>HYPERLINK("https://www.boe.es/gazeta/dias/1807/04/21/pdfs/C00001-00004.pdf#page=3","Abrir facsímil")</f>
        <v>Abrir facsímil</v>
      </c>
      <c r="K1987" s="15" t="s">
        <v>22</v>
      </c>
    </row>
    <row r="1988" spans="1:11" ht="42" customHeight="1">
      <c r="A1988" s="4" t="s">
        <v>4877</v>
      </c>
      <c r="B1988" s="5" t="s">
        <v>4878</v>
      </c>
      <c r="C1988" s="5" t="s">
        <v>49</v>
      </c>
      <c r="D1988" s="5" t="s">
        <v>50</v>
      </c>
      <c r="E1988" s="5" t="s">
        <v>376</v>
      </c>
      <c r="F1988" s="9">
        <v>19</v>
      </c>
      <c r="G1988" s="9">
        <v>224</v>
      </c>
      <c r="H1988" s="5" t="s">
        <v>20</v>
      </c>
      <c r="I1988" s="5" t="s">
        <v>4879</v>
      </c>
      <c r="J1988" s="12" t="str">
        <f>HYPERLINK("https://www.boe.es/gazeta/dias/1807/02/27/pdfs/GMD-1807-19.pdf#page=8","Abrir facsímil")</f>
        <v>Abrir facsímil</v>
      </c>
      <c r="K1988" s="15" t="s">
        <v>22</v>
      </c>
    </row>
    <row r="1989" spans="1:11" ht="42" customHeight="1">
      <c r="A1989" s="4" t="s">
        <v>4880</v>
      </c>
      <c r="B1989" s="5" t="s">
        <v>4881</v>
      </c>
      <c r="C1989" s="5" t="s">
        <v>49</v>
      </c>
      <c r="D1989" s="5" t="s">
        <v>50</v>
      </c>
      <c r="E1989" s="5" t="s">
        <v>183</v>
      </c>
      <c r="F1989" s="9">
        <v>1</v>
      </c>
      <c r="G1989" s="9">
        <v>4</v>
      </c>
      <c r="H1989" s="5" t="s">
        <v>20</v>
      </c>
      <c r="I1989" s="5" t="s">
        <v>4882</v>
      </c>
      <c r="J1989" s="12" t="str">
        <f>HYPERLINK("https://www.boe.es/gazeta/dias/1807/01/02/pdfs/GMD-1807-1.pdf#page=4","Abrir facsímil")</f>
        <v>Abrir facsímil</v>
      </c>
      <c r="K1989" s="15" t="s">
        <v>22</v>
      </c>
    </row>
    <row r="1990" spans="1:11" ht="42" customHeight="1">
      <c r="A1990" s="4" t="s">
        <v>4880</v>
      </c>
      <c r="B1990" s="5" t="s">
        <v>4881</v>
      </c>
      <c r="C1990" s="5" t="s">
        <v>28</v>
      </c>
      <c r="D1990" s="5" t="s">
        <v>29</v>
      </c>
      <c r="E1990" s="5" t="s">
        <v>259</v>
      </c>
      <c r="F1990" s="9">
        <v>3</v>
      </c>
      <c r="G1990" s="9">
        <v>26</v>
      </c>
      <c r="H1990" s="5" t="s">
        <v>20</v>
      </c>
      <c r="I1990" s="5" t="s">
        <v>4883</v>
      </c>
      <c r="J1990" s="12" t="str">
        <f>HYPERLINK("https://www.boe.es/gazeta/dias/1807/01/09/pdfs/GMD-1807-3.pdf#page=6","Abrir facsímil")</f>
        <v>Abrir facsímil</v>
      </c>
      <c r="K1990" s="15" t="s">
        <v>22</v>
      </c>
    </row>
    <row r="1991" spans="1:11" ht="42" customHeight="1">
      <c r="A1991" s="4" t="s">
        <v>4880</v>
      </c>
      <c r="B1991" s="5" t="s">
        <v>4881</v>
      </c>
      <c r="C1991" s="5" t="s">
        <v>252</v>
      </c>
      <c r="D1991" s="5" t="s">
        <v>253</v>
      </c>
      <c r="E1991" s="5" t="s">
        <v>534</v>
      </c>
      <c r="F1991" s="9" t="s">
        <v>535</v>
      </c>
      <c r="G1991" s="9">
        <v>102</v>
      </c>
      <c r="H1991" s="5" t="s">
        <v>20</v>
      </c>
      <c r="I1991" s="5" t="s">
        <v>4884</v>
      </c>
      <c r="J1991" s="12" t="str">
        <f>HYPERLINK("https://www.boe.es/gazeta/dias/1807/01/24/pdfs/GMD-1807-9E.pdf#page=6","Abrir facsímil")</f>
        <v>Abrir facsímil</v>
      </c>
      <c r="K1991" s="15" t="s">
        <v>22</v>
      </c>
    </row>
    <row r="1992" spans="1:11" ht="42" customHeight="1">
      <c r="A1992" s="4" t="s">
        <v>4880</v>
      </c>
      <c r="B1992" s="5" t="s">
        <v>4881</v>
      </c>
      <c r="C1992" s="5" t="s">
        <v>49</v>
      </c>
      <c r="D1992" s="5" t="s">
        <v>50</v>
      </c>
      <c r="E1992" s="5" t="s">
        <v>86</v>
      </c>
      <c r="F1992" s="9">
        <v>12</v>
      </c>
      <c r="G1992" s="9">
        <v>134</v>
      </c>
      <c r="H1992" s="5" t="s">
        <v>20</v>
      </c>
      <c r="I1992" s="5" t="s">
        <v>4885</v>
      </c>
      <c r="J1992" s="12" t="str">
        <f>HYPERLINK("https://www.boe.es/gazeta/dias/1807/02/03/pdfs/GMD-1807-12.pdf#page=6","Abrir facsímil")</f>
        <v>Abrir facsímil</v>
      </c>
      <c r="K1992" s="15" t="s">
        <v>22</v>
      </c>
    </row>
    <row r="1993" spans="1:11" ht="42" customHeight="1">
      <c r="A1993" s="4" t="s">
        <v>4880</v>
      </c>
      <c r="B1993" s="5" t="s">
        <v>4881</v>
      </c>
      <c r="C1993" s="5" t="s">
        <v>28</v>
      </c>
      <c r="D1993" s="5" t="s">
        <v>29</v>
      </c>
      <c r="E1993" s="5" t="s">
        <v>86</v>
      </c>
      <c r="F1993" s="9">
        <v>12</v>
      </c>
      <c r="G1993" s="9">
        <v>135</v>
      </c>
      <c r="H1993" s="5" t="s">
        <v>20</v>
      </c>
      <c r="I1993" s="5" t="s">
        <v>4886</v>
      </c>
      <c r="J1993" s="12" t="str">
        <f>HYPERLINK("https://www.boe.es/gazeta/dias/1807/02/03/pdfs/GMD-1807-12.pdf#page=7","Abrir facsímil")</f>
        <v>Abrir facsímil</v>
      </c>
      <c r="K1993" s="15" t="s">
        <v>22</v>
      </c>
    </row>
    <row r="1994" spans="1:11" ht="42" customHeight="1">
      <c r="A1994" s="4" t="s">
        <v>4880</v>
      </c>
      <c r="B1994" s="5" t="s">
        <v>4881</v>
      </c>
      <c r="C1994" s="5" t="s">
        <v>49</v>
      </c>
      <c r="D1994" s="5" t="s">
        <v>50</v>
      </c>
      <c r="E1994" s="5" t="s">
        <v>572</v>
      </c>
      <c r="F1994" s="9">
        <v>14</v>
      </c>
      <c r="G1994" s="9">
        <v>155</v>
      </c>
      <c r="H1994" s="5" t="s">
        <v>20</v>
      </c>
      <c r="I1994" s="5" t="s">
        <v>4887</v>
      </c>
      <c r="J1994" s="12" t="str">
        <f>HYPERLINK("https://www.boe.es/gazeta/dias/1807/02/10/pdfs/GMD-1807-14.pdf#page=3","Abrir facsímil")</f>
        <v>Abrir facsímil</v>
      </c>
      <c r="K1994" s="15" t="s">
        <v>22</v>
      </c>
    </row>
    <row r="1995" spans="1:11" ht="42" customHeight="1">
      <c r="A1995" s="4" t="s">
        <v>4880</v>
      </c>
      <c r="B1995" s="5" t="s">
        <v>4881</v>
      </c>
      <c r="C1995" s="5" t="s">
        <v>49</v>
      </c>
      <c r="D1995" s="5" t="s">
        <v>50</v>
      </c>
      <c r="E1995" s="5" t="s">
        <v>572</v>
      </c>
      <c r="F1995" s="9">
        <v>14</v>
      </c>
      <c r="G1995" s="9">
        <v>157</v>
      </c>
      <c r="H1995" s="5" t="s">
        <v>20</v>
      </c>
      <c r="I1995" s="5" t="s">
        <v>4888</v>
      </c>
      <c r="J1995" s="12" t="str">
        <f>HYPERLINK("https://www.boe.es/gazeta/dias/1807/02/10/pdfs/GMD-1807-14.pdf#page=5","Abrir facsímil")</f>
        <v>Abrir facsímil</v>
      </c>
      <c r="K1995" s="15" t="s">
        <v>22</v>
      </c>
    </row>
    <row r="1996" spans="1:11" ht="42" customHeight="1">
      <c r="A1996" s="4" t="s">
        <v>4880</v>
      </c>
      <c r="B1996" s="5" t="s">
        <v>4881</v>
      </c>
      <c r="C1996" s="5" t="s">
        <v>34</v>
      </c>
      <c r="D1996" s="5" t="s">
        <v>35</v>
      </c>
      <c r="E1996" s="5" t="s">
        <v>393</v>
      </c>
      <c r="F1996" s="9">
        <v>15</v>
      </c>
      <c r="G1996" s="9">
        <v>169</v>
      </c>
      <c r="H1996" s="5" t="s">
        <v>20</v>
      </c>
      <c r="I1996" s="5" t="s">
        <v>4889</v>
      </c>
      <c r="J1996" s="12" t="str">
        <f>HYPERLINK("https://www.boe.es/gazeta/dias/1807/02/13/pdfs/GMD-1807-15.pdf#page=5","Abrir facsímil")</f>
        <v>Abrir facsímil</v>
      </c>
      <c r="K1996" s="15" t="s">
        <v>22</v>
      </c>
    </row>
    <row r="1997" spans="1:11" ht="42" customHeight="1">
      <c r="A1997" s="4" t="s">
        <v>4880</v>
      </c>
      <c r="B1997" s="5" t="s">
        <v>4881</v>
      </c>
      <c r="C1997" s="5" t="s">
        <v>49</v>
      </c>
      <c r="D1997" s="5" t="s">
        <v>50</v>
      </c>
      <c r="E1997" s="5" t="s">
        <v>393</v>
      </c>
      <c r="F1997" s="9">
        <v>15</v>
      </c>
      <c r="G1997" s="9">
        <v>170</v>
      </c>
      <c r="H1997" s="5" t="s">
        <v>20</v>
      </c>
      <c r="I1997" s="5" t="s">
        <v>4890</v>
      </c>
      <c r="J1997" s="12" t="str">
        <f>HYPERLINK("https://www.boe.es/gazeta/dias/1807/02/13/pdfs/GMD-1807-15.pdf#page=6","Abrir facsímil")</f>
        <v>Abrir facsímil</v>
      </c>
      <c r="K1997" s="15" t="s">
        <v>22</v>
      </c>
    </row>
    <row r="1998" spans="1:11" ht="42" customHeight="1">
      <c r="A1998" s="4" t="s">
        <v>4880</v>
      </c>
      <c r="B1998" s="5" t="s">
        <v>4881</v>
      </c>
      <c r="C1998" s="5" t="s">
        <v>49</v>
      </c>
      <c r="D1998" s="5" t="s">
        <v>50</v>
      </c>
      <c r="E1998" s="5" t="s">
        <v>393</v>
      </c>
      <c r="F1998" s="9">
        <v>15</v>
      </c>
      <c r="G1998" s="9">
        <v>171</v>
      </c>
      <c r="H1998" s="5" t="s">
        <v>20</v>
      </c>
      <c r="I1998" s="5" t="s">
        <v>4891</v>
      </c>
      <c r="J1998" s="12" t="str">
        <f>HYPERLINK("https://www.boe.es/gazeta/dias/1807/02/13/pdfs/GMD-1807-15.pdf#page=7","Abrir facsímil")</f>
        <v>Abrir facsímil</v>
      </c>
      <c r="K1998" s="15" t="s">
        <v>22</v>
      </c>
    </row>
    <row r="1999" spans="1:11" ht="42" customHeight="1">
      <c r="A1999" s="4" t="s">
        <v>4880</v>
      </c>
      <c r="B1999" s="5" t="s">
        <v>4881</v>
      </c>
      <c r="C1999" s="5" t="s">
        <v>28</v>
      </c>
      <c r="D1999" s="5" t="s">
        <v>29</v>
      </c>
      <c r="E1999" s="5" t="s">
        <v>176</v>
      </c>
      <c r="F1999" s="9">
        <v>17</v>
      </c>
      <c r="G1999" s="9">
        <v>193</v>
      </c>
      <c r="H1999" s="5" t="s">
        <v>20</v>
      </c>
      <c r="I1999" s="5" t="s">
        <v>4892</v>
      </c>
      <c r="J1999" s="12" t="str">
        <f>HYPERLINK("https://www.boe.es/gazeta/dias/1807/02/20/pdfs/GMD-1807-17.pdf#page=5","Abrir facsímil")</f>
        <v>Abrir facsímil</v>
      </c>
      <c r="K1999" s="15" t="s">
        <v>22</v>
      </c>
    </row>
    <row r="2000" spans="1:11" ht="42" customHeight="1">
      <c r="A2000" s="4" t="s">
        <v>4880</v>
      </c>
      <c r="B2000" s="5" t="s">
        <v>4881</v>
      </c>
      <c r="C2000" s="5" t="s">
        <v>49</v>
      </c>
      <c r="D2000" s="5" t="s">
        <v>50</v>
      </c>
      <c r="E2000" s="5" t="s">
        <v>464</v>
      </c>
      <c r="F2000" s="9">
        <v>18</v>
      </c>
      <c r="G2000" s="9">
        <v>210</v>
      </c>
      <c r="H2000" s="5" t="s">
        <v>20</v>
      </c>
      <c r="I2000" s="5" t="s">
        <v>4893</v>
      </c>
      <c r="J2000" s="12" t="str">
        <f>HYPERLINK("https://www.boe.es/gazeta/dias/1807/02/24/pdfs/GMD-1807-18.pdf#page=10","Abrir facsímil")</f>
        <v>Abrir facsímil</v>
      </c>
      <c r="K2000" s="15" t="s">
        <v>22</v>
      </c>
    </row>
    <row r="2001" spans="1:11" ht="42" customHeight="1">
      <c r="A2001" s="4" t="s">
        <v>4880</v>
      </c>
      <c r="B2001" s="5" t="s">
        <v>4881</v>
      </c>
      <c r="C2001" s="5" t="s">
        <v>49</v>
      </c>
      <c r="D2001" s="5" t="s">
        <v>50</v>
      </c>
      <c r="E2001" s="5" t="s">
        <v>376</v>
      </c>
      <c r="F2001" s="9">
        <v>19</v>
      </c>
      <c r="G2001" s="9">
        <v>223</v>
      </c>
      <c r="H2001" s="5" t="s">
        <v>20</v>
      </c>
      <c r="I2001" s="5" t="s">
        <v>4894</v>
      </c>
      <c r="J2001" s="12" t="str">
        <f>HYPERLINK("https://www.boe.es/gazeta/dias/1807/02/27/pdfs/GMD-1807-19.pdf#page=7","Abrir facsímil")</f>
        <v>Abrir facsímil</v>
      </c>
      <c r="K2001" s="15" t="s">
        <v>22</v>
      </c>
    </row>
    <row r="2002" spans="1:11" ht="42" customHeight="1">
      <c r="A2002" s="4" t="s">
        <v>4880</v>
      </c>
      <c r="B2002" s="5" t="s">
        <v>4881</v>
      </c>
      <c r="C2002" s="5" t="s">
        <v>49</v>
      </c>
      <c r="D2002" s="5" t="s">
        <v>50</v>
      </c>
      <c r="E2002" s="5" t="s">
        <v>208</v>
      </c>
      <c r="F2002" s="9">
        <v>42</v>
      </c>
      <c r="G2002" s="9">
        <v>499</v>
      </c>
      <c r="H2002" s="5" t="s">
        <v>20</v>
      </c>
      <c r="I2002" s="5" t="s">
        <v>4895</v>
      </c>
      <c r="J2002" s="12" t="str">
        <f>HYPERLINK("https://www.boe.es/gazeta/dias/1807/05/15/pdfs/GMD-1807-42.pdf#page=5","Abrir facsímil")</f>
        <v>Abrir facsímil</v>
      </c>
      <c r="K2002" s="15" t="s">
        <v>22</v>
      </c>
    </row>
    <row r="2003" spans="1:11" ht="42" customHeight="1">
      <c r="A2003" s="4" t="s">
        <v>4880</v>
      </c>
      <c r="B2003" s="5" t="s">
        <v>4881</v>
      </c>
      <c r="C2003" s="5" t="s">
        <v>28</v>
      </c>
      <c r="D2003" s="5" t="s">
        <v>29</v>
      </c>
      <c r="E2003" s="5" t="s">
        <v>666</v>
      </c>
      <c r="F2003" s="9">
        <v>43</v>
      </c>
      <c r="G2003" s="9">
        <v>514</v>
      </c>
      <c r="H2003" s="5" t="s">
        <v>20</v>
      </c>
      <c r="I2003" s="5" t="s">
        <v>4896</v>
      </c>
      <c r="J2003" s="12" t="str">
        <f>HYPERLINK("https://www.boe.es/gazeta/dias/1807/05/19/pdfs/GMD-1807-43.pdf#page=8","Abrir facsímil")</f>
        <v>Abrir facsímil</v>
      </c>
      <c r="K2003" s="15" t="s">
        <v>22</v>
      </c>
    </row>
    <row r="2004" spans="1:11" ht="42" customHeight="1">
      <c r="A2004" s="4" t="s">
        <v>4880</v>
      </c>
      <c r="B2004" s="5" t="s">
        <v>4881</v>
      </c>
      <c r="C2004" s="5" t="s">
        <v>49</v>
      </c>
      <c r="D2004" s="5" t="s">
        <v>50</v>
      </c>
      <c r="E2004" s="5" t="s">
        <v>81</v>
      </c>
      <c r="F2004" s="9">
        <v>49</v>
      </c>
      <c r="G2004" s="9">
        <v>578</v>
      </c>
      <c r="H2004" s="5" t="s">
        <v>20</v>
      </c>
      <c r="I2004" s="5" t="s">
        <v>4897</v>
      </c>
      <c r="J2004" s="12" t="str">
        <f>HYPERLINK("https://www.boe.es/gazeta/dias/1807/06/09/pdfs/GMD-1807-49.pdf#page=4","Abrir facsímil")</f>
        <v>Abrir facsímil</v>
      </c>
      <c r="K2004" s="15" t="s">
        <v>22</v>
      </c>
    </row>
    <row r="2005" spans="1:11" ht="42" customHeight="1">
      <c r="A2005" s="4" t="s">
        <v>4880</v>
      </c>
      <c r="B2005" s="5" t="s">
        <v>4881</v>
      </c>
      <c r="C2005" s="5" t="s">
        <v>34</v>
      </c>
      <c r="D2005" s="5" t="s">
        <v>35</v>
      </c>
      <c r="E2005" s="5" t="s">
        <v>81</v>
      </c>
      <c r="F2005" s="9">
        <v>49</v>
      </c>
      <c r="G2005" s="9">
        <v>580</v>
      </c>
      <c r="H2005" s="5" t="s">
        <v>20</v>
      </c>
      <c r="I2005" s="5" t="s">
        <v>4898</v>
      </c>
      <c r="J2005" s="12" t="str">
        <f>HYPERLINK("https://www.boe.es/gazeta/dias/1807/06/09/pdfs/GMD-1807-49.pdf#page=6","Abrir facsímil")</f>
        <v>Abrir facsímil</v>
      </c>
      <c r="K2005" s="15" t="s">
        <v>22</v>
      </c>
    </row>
    <row r="2006" spans="1:11" ht="42" customHeight="1">
      <c r="A2006" s="4" t="s">
        <v>4880</v>
      </c>
      <c r="B2006" s="5" t="s">
        <v>4881</v>
      </c>
      <c r="C2006" s="5" t="s">
        <v>49</v>
      </c>
      <c r="D2006" s="5" t="s">
        <v>50</v>
      </c>
      <c r="E2006" s="5" t="s">
        <v>81</v>
      </c>
      <c r="F2006" s="9">
        <v>49</v>
      </c>
      <c r="G2006" s="9">
        <v>584</v>
      </c>
      <c r="H2006" s="5" t="s">
        <v>20</v>
      </c>
      <c r="I2006" s="5" t="s">
        <v>4899</v>
      </c>
      <c r="J2006" s="12" t="str">
        <f>HYPERLINK("https://www.boe.es/gazeta/dias/1807/06/09/pdfs/GMD-1807-49.pdf#page=10","Abrir facsímil")</f>
        <v>Abrir facsímil</v>
      </c>
      <c r="K2006" s="15" t="s">
        <v>22</v>
      </c>
    </row>
    <row r="2007" spans="1:11" ht="42" customHeight="1">
      <c r="A2007" s="4" t="s">
        <v>4880</v>
      </c>
      <c r="B2007" s="5" t="s">
        <v>4881</v>
      </c>
      <c r="C2007" s="5" t="s">
        <v>49</v>
      </c>
      <c r="D2007" s="5" t="s">
        <v>50</v>
      </c>
      <c r="E2007" s="5" t="s">
        <v>51</v>
      </c>
      <c r="F2007" s="9">
        <v>62</v>
      </c>
      <c r="G2007" s="9">
        <v>729</v>
      </c>
      <c r="H2007" s="5" t="s">
        <v>20</v>
      </c>
      <c r="I2007" s="5" t="s">
        <v>4900</v>
      </c>
      <c r="J2007" s="12" t="str">
        <f>HYPERLINK("https://www.boe.es/gazeta/dias/1807/07/17/pdfs/GMD-1807-62.pdf#page=3","Abrir facsímil")</f>
        <v>Abrir facsímil</v>
      </c>
      <c r="K2007" s="15" t="s">
        <v>22</v>
      </c>
    </row>
    <row r="2008" spans="1:11" ht="42" customHeight="1">
      <c r="A2008" s="4" t="s">
        <v>4880</v>
      </c>
      <c r="B2008" s="5" t="s">
        <v>4881</v>
      </c>
      <c r="C2008" s="5" t="s">
        <v>252</v>
      </c>
      <c r="D2008" s="5" t="s">
        <v>253</v>
      </c>
      <c r="E2008" s="5" t="s">
        <v>1959</v>
      </c>
      <c r="F2008" s="9" t="s">
        <v>1960</v>
      </c>
      <c r="G2008" s="9">
        <v>737</v>
      </c>
      <c r="H2008" s="5" t="s">
        <v>20</v>
      </c>
      <c r="I2008" s="5" t="s">
        <v>4901</v>
      </c>
      <c r="J2008" s="12" t="str">
        <f>HYPERLINK("https://www.boe.es/gazeta/dias/1807/07/18/pdfs/GMD-1807-63E.pdf#page=3","Abrir facsímil")</f>
        <v>Abrir facsímil</v>
      </c>
      <c r="K2008" s="15" t="s">
        <v>22</v>
      </c>
    </row>
    <row r="2009" spans="1:11" ht="42" customHeight="1">
      <c r="A2009" s="4" t="s">
        <v>4880</v>
      </c>
      <c r="B2009" s="5" t="s">
        <v>4881</v>
      </c>
      <c r="C2009" s="5" t="s">
        <v>49</v>
      </c>
      <c r="D2009" s="5" t="s">
        <v>50</v>
      </c>
      <c r="E2009" s="5" t="s">
        <v>53</v>
      </c>
      <c r="F2009" s="9">
        <v>64</v>
      </c>
      <c r="G2009" s="9">
        <v>744</v>
      </c>
      <c r="H2009" s="5" t="s">
        <v>20</v>
      </c>
      <c r="I2009" s="5" t="s">
        <v>4902</v>
      </c>
      <c r="J2009" s="12" t="str">
        <f>HYPERLINK("https://www.boe.es/gazeta/dias/1807/07/21/pdfs/GMD-1807-64.pdf#page=6","Abrir facsímil")</f>
        <v>Abrir facsímil</v>
      </c>
      <c r="K2009" s="15" t="s">
        <v>22</v>
      </c>
    </row>
    <row r="2010" spans="1:11" ht="42" customHeight="1">
      <c r="A2010" s="4" t="s">
        <v>4880</v>
      </c>
      <c r="B2010" s="5" t="s">
        <v>4881</v>
      </c>
      <c r="C2010" s="5" t="s">
        <v>28</v>
      </c>
      <c r="D2010" s="5" t="s">
        <v>29</v>
      </c>
      <c r="E2010" s="5" t="s">
        <v>447</v>
      </c>
      <c r="F2010" s="9">
        <v>65</v>
      </c>
      <c r="G2010" s="9">
        <v>756</v>
      </c>
      <c r="H2010" s="5" t="s">
        <v>20</v>
      </c>
      <c r="I2010" s="5" t="s">
        <v>4903</v>
      </c>
      <c r="J2010" s="12" t="str">
        <f>HYPERLINK("https://www.boe.es/gazeta/dias/1807/07/24/pdfs/GMD-1807-65.pdf#page=6","Abrir facsímil")</f>
        <v>Abrir facsímil</v>
      </c>
      <c r="K2010" s="15" t="s">
        <v>22</v>
      </c>
    </row>
    <row r="2011" spans="1:11" ht="42" customHeight="1">
      <c r="A2011" s="4" t="s">
        <v>4880</v>
      </c>
      <c r="B2011" s="5" t="s">
        <v>4881</v>
      </c>
      <c r="C2011" s="5" t="s">
        <v>49</v>
      </c>
      <c r="D2011" s="5" t="s">
        <v>50</v>
      </c>
      <c r="E2011" s="5" t="s">
        <v>123</v>
      </c>
      <c r="F2011" s="9">
        <v>70</v>
      </c>
      <c r="G2011" s="9">
        <v>798</v>
      </c>
      <c r="H2011" s="5" t="s">
        <v>20</v>
      </c>
      <c r="I2011" s="5" t="s">
        <v>4904</v>
      </c>
      <c r="J2011" s="12" t="str">
        <f>HYPERLINK("https://www.boe.es/gazeta/dias/1807/08/04/pdfs/GMD-1807-70.pdf#page=2","Abrir facsímil")</f>
        <v>Abrir facsímil</v>
      </c>
      <c r="K2011" s="15" t="s">
        <v>22</v>
      </c>
    </row>
    <row r="2012" spans="1:11" ht="42" customHeight="1">
      <c r="A2012" s="4" t="s">
        <v>4880</v>
      </c>
      <c r="B2012" s="5" t="s">
        <v>4881</v>
      </c>
      <c r="C2012" s="5" t="s">
        <v>49</v>
      </c>
      <c r="D2012" s="5" t="s">
        <v>50</v>
      </c>
      <c r="E2012" s="5" t="s">
        <v>186</v>
      </c>
      <c r="F2012" s="9">
        <v>72</v>
      </c>
      <c r="G2012" s="9">
        <v>821</v>
      </c>
      <c r="H2012" s="5" t="s">
        <v>20</v>
      </c>
      <c r="I2012" s="5" t="s">
        <v>4905</v>
      </c>
      <c r="J2012" s="12" t="str">
        <f>HYPERLINK("https://www.boe.es/gazeta/dias/1807/08/11/pdfs/GMD-1807-72.pdf#page=1","Abrir facsímil")</f>
        <v>Abrir facsímil</v>
      </c>
      <c r="K2012" s="15" t="s">
        <v>22</v>
      </c>
    </row>
    <row r="2013" spans="1:11" ht="42" customHeight="1">
      <c r="A2013" s="4" t="s">
        <v>4880</v>
      </c>
      <c r="B2013" s="5" t="s">
        <v>4881</v>
      </c>
      <c r="C2013" s="5" t="s">
        <v>49</v>
      </c>
      <c r="D2013" s="5" t="s">
        <v>50</v>
      </c>
      <c r="E2013" s="5" t="s">
        <v>241</v>
      </c>
      <c r="F2013" s="9">
        <v>76</v>
      </c>
      <c r="G2013" s="9">
        <v>875</v>
      </c>
      <c r="H2013" s="5" t="s">
        <v>20</v>
      </c>
      <c r="I2013" s="5" t="s">
        <v>4906</v>
      </c>
      <c r="J2013" s="12" t="str">
        <f>HYPERLINK("https://www.boe.es/gazeta/dias/1807/08/25/pdfs/GMD-1807-76.pdf#page=3","Abrir facsímil")</f>
        <v>Abrir facsímil</v>
      </c>
      <c r="K2013" s="15" t="s">
        <v>22</v>
      </c>
    </row>
    <row r="2014" spans="1:11" ht="42" customHeight="1">
      <c r="A2014" s="4" t="s">
        <v>4880</v>
      </c>
      <c r="B2014" s="5" t="s">
        <v>4881</v>
      </c>
      <c r="C2014" s="5" t="s">
        <v>49</v>
      </c>
      <c r="D2014" s="5" t="s">
        <v>50</v>
      </c>
      <c r="E2014" s="5" t="s">
        <v>167</v>
      </c>
      <c r="F2014" s="9">
        <v>77</v>
      </c>
      <c r="G2014" s="9">
        <v>887</v>
      </c>
      <c r="H2014" s="5" t="s">
        <v>20</v>
      </c>
      <c r="I2014" s="5" t="s">
        <v>4907</v>
      </c>
      <c r="J2014" s="12" t="str">
        <f>HYPERLINK("https://www.boe.es/gazeta/dias/1807/08/28/pdfs/GMD-1807-77.pdf#page=3","Abrir facsímil")</f>
        <v>Abrir facsímil</v>
      </c>
      <c r="K2014" s="15" t="s">
        <v>22</v>
      </c>
    </row>
    <row r="2015" spans="1:11" ht="42" customHeight="1">
      <c r="A2015" s="4" t="s">
        <v>4908</v>
      </c>
      <c r="B2015" s="5" t="s">
        <v>4908</v>
      </c>
      <c r="C2015" s="5" t="s">
        <v>17</v>
      </c>
      <c r="D2015" s="5" t="s">
        <v>18</v>
      </c>
      <c r="E2015" s="5" t="s">
        <v>505</v>
      </c>
      <c r="F2015" s="9">
        <v>47</v>
      </c>
      <c r="G2015" s="9">
        <v>562</v>
      </c>
      <c r="H2015" s="5" t="s">
        <v>20</v>
      </c>
      <c r="I2015" s="5" t="s">
        <v>4909</v>
      </c>
      <c r="J2015" s="12" t="str">
        <f>HYPERLINK("https://www.boe.es/gazeta/dias/1807/06/02/pdfs/GMD-1807-47.pdf#page=8","Abrir facsímil")</f>
        <v>Abrir facsímil</v>
      </c>
      <c r="K2015" s="15" t="s">
        <v>22</v>
      </c>
    </row>
    <row r="2016" spans="1:11" ht="42" customHeight="1">
      <c r="A2016" s="4" t="s">
        <v>4908</v>
      </c>
      <c r="B2016" s="5" t="s">
        <v>4908</v>
      </c>
      <c r="C2016" s="5" t="s">
        <v>17</v>
      </c>
      <c r="D2016" s="5" t="s">
        <v>18</v>
      </c>
      <c r="E2016" s="5" t="s">
        <v>581</v>
      </c>
      <c r="F2016" s="9">
        <v>71</v>
      </c>
      <c r="G2016" s="9">
        <v>817</v>
      </c>
      <c r="H2016" s="5" t="s">
        <v>20</v>
      </c>
      <c r="I2016" s="5" t="s">
        <v>4910</v>
      </c>
      <c r="J2016" s="12" t="str">
        <f>HYPERLINK("https://www.boe.es/gazeta/dias/1807/08/07/pdfs/GMD-1807-71.pdf#page=9","Abrir facsímil")</f>
        <v>Abrir facsímil</v>
      </c>
      <c r="K2016" s="15" t="s">
        <v>22</v>
      </c>
    </row>
    <row r="2017" spans="1:11" ht="42" customHeight="1">
      <c r="A2017" s="4" t="s">
        <v>4911</v>
      </c>
      <c r="B2017" s="5" t="s">
        <v>4912</v>
      </c>
      <c r="C2017" s="5" t="s">
        <v>28</v>
      </c>
      <c r="D2017" s="5" t="s">
        <v>29</v>
      </c>
      <c r="E2017" s="5" t="s">
        <v>215</v>
      </c>
      <c r="F2017" s="9">
        <v>5</v>
      </c>
      <c r="G2017" s="9">
        <v>51</v>
      </c>
      <c r="H2017" s="5" t="s">
        <v>20</v>
      </c>
      <c r="I2017" s="5" t="s">
        <v>4913</v>
      </c>
      <c r="J2017" s="12" t="str">
        <f>HYPERLINK("https://www.boe.es/gazeta/dias/1807/01/16/pdfs/GMD-1807-5.pdf#page=7","Abrir facsímil")</f>
        <v>Abrir facsímil</v>
      </c>
      <c r="K2017" s="15" t="s">
        <v>22</v>
      </c>
    </row>
    <row r="2018" spans="1:11" ht="42" customHeight="1">
      <c r="A2018" s="4" t="s">
        <v>4914</v>
      </c>
      <c r="B2018" s="5" t="s">
        <v>4915</v>
      </c>
      <c r="C2018" s="5" t="s">
        <v>28</v>
      </c>
      <c r="D2018" s="5" t="s">
        <v>29</v>
      </c>
      <c r="E2018" s="5" t="s">
        <v>208</v>
      </c>
      <c r="F2018" s="9">
        <v>42</v>
      </c>
      <c r="G2018" s="9">
        <v>502</v>
      </c>
      <c r="H2018" s="5" t="s">
        <v>20</v>
      </c>
      <c r="I2018" s="5" t="s">
        <v>4916</v>
      </c>
      <c r="J2018" s="12" t="str">
        <f>HYPERLINK("https://www.boe.es/gazeta/dias/1807/05/15/pdfs/GMD-1807-42.pdf#page=8","Abrir facsímil")</f>
        <v>Abrir facsímil</v>
      </c>
      <c r="K2018" s="15" t="s">
        <v>22</v>
      </c>
    </row>
    <row r="2019" spans="1:11" ht="42" customHeight="1">
      <c r="A2019" s="4" t="s">
        <v>4917</v>
      </c>
      <c r="B2019" s="5" t="s">
        <v>4918</v>
      </c>
      <c r="C2019" s="5" t="s">
        <v>24</v>
      </c>
      <c r="D2019" s="5" t="s">
        <v>18</v>
      </c>
      <c r="E2019" s="5" t="s">
        <v>25</v>
      </c>
      <c r="F2019" s="9">
        <v>45</v>
      </c>
      <c r="G2019" s="9">
        <v>541</v>
      </c>
      <c r="H2019" s="5" t="s">
        <v>20</v>
      </c>
      <c r="I2019" s="5" t="s">
        <v>4919</v>
      </c>
      <c r="J2019" s="12" t="str">
        <f>HYPERLINK("https://www.boe.es/gazeta/dias/1807/05/26/pdfs/GMD-1807-45.pdf#page=11","Abrir facsímil")</f>
        <v>Abrir facsímil</v>
      </c>
      <c r="K2019" s="15" t="s">
        <v>22</v>
      </c>
    </row>
    <row r="2020" spans="1:11" ht="42" customHeight="1">
      <c r="A2020" s="4" t="s">
        <v>4917</v>
      </c>
      <c r="B2020" s="5" t="s">
        <v>4918</v>
      </c>
      <c r="C2020" s="5" t="s">
        <v>24</v>
      </c>
      <c r="D2020" s="5" t="s">
        <v>18</v>
      </c>
      <c r="E2020" s="5" t="s">
        <v>444</v>
      </c>
      <c r="F2020" s="9">
        <v>95</v>
      </c>
      <c r="G2020" s="9">
        <v>1106</v>
      </c>
      <c r="H2020" s="5" t="s">
        <v>20</v>
      </c>
      <c r="I2020" s="5" t="s">
        <v>4920</v>
      </c>
      <c r="J2020" s="12" t="str">
        <f>HYPERLINK("https://www.boe.es/gazeta/dias/1807/10/23/pdfs/GMD-1807-95.pdf#page=10","Abrir facsímil")</f>
        <v>Abrir facsímil</v>
      </c>
      <c r="K2020" s="15" t="s">
        <v>22</v>
      </c>
    </row>
    <row r="2021" spans="1:11" ht="42" customHeight="1">
      <c r="A2021" s="4" t="s">
        <v>4921</v>
      </c>
      <c r="B2021" s="5" t="s">
        <v>4922</v>
      </c>
      <c r="C2021" s="5" t="s">
        <v>17</v>
      </c>
      <c r="D2021" s="5" t="s">
        <v>18</v>
      </c>
      <c r="E2021" s="5" t="s">
        <v>79</v>
      </c>
      <c r="F2021" s="9">
        <v>11</v>
      </c>
      <c r="G2021" s="9">
        <v>127</v>
      </c>
      <c r="H2021" s="5" t="s">
        <v>20</v>
      </c>
      <c r="I2021" s="5" t="s">
        <v>4923</v>
      </c>
      <c r="J2021" s="12" t="str">
        <f>HYPERLINK("https://www.boe.es/gazeta/dias/1807/01/30/pdfs/GMD-1807-11.pdf#page=11","Abrir facsímil")</f>
        <v>Abrir facsímil</v>
      </c>
      <c r="K2021" s="15" t="s">
        <v>22</v>
      </c>
    </row>
    <row r="2022" spans="1:11" ht="42" customHeight="1">
      <c r="A2022" s="4" t="s">
        <v>4921</v>
      </c>
      <c r="B2022" s="5" t="s">
        <v>4922</v>
      </c>
      <c r="C2022" s="5" t="s">
        <v>17</v>
      </c>
      <c r="D2022" s="5" t="s">
        <v>18</v>
      </c>
      <c r="E2022" s="5" t="s">
        <v>221</v>
      </c>
      <c r="F2022" s="9">
        <v>73</v>
      </c>
      <c r="G2022" s="9">
        <v>848</v>
      </c>
      <c r="H2022" s="5" t="s">
        <v>20</v>
      </c>
      <c r="I2022" s="5" t="s">
        <v>4924</v>
      </c>
      <c r="J2022" s="12" t="str">
        <f>HYPERLINK("https://www.boe.es/gazeta/dias/1807/08/14/pdfs/GMD-1807-73.pdf#page=12","Abrir facsímil")</f>
        <v>Abrir facsímil</v>
      </c>
      <c r="K2022" s="15" t="s">
        <v>22</v>
      </c>
    </row>
    <row r="2023" spans="1:11" ht="42" customHeight="1">
      <c r="A2023" s="4" t="s">
        <v>4925</v>
      </c>
      <c r="B2023" s="5" t="s">
        <v>4926</v>
      </c>
      <c r="C2023" s="5" t="s">
        <v>28</v>
      </c>
      <c r="D2023" s="5" t="s">
        <v>29</v>
      </c>
      <c r="E2023" s="5" t="s">
        <v>104</v>
      </c>
      <c r="F2023" s="9">
        <v>25</v>
      </c>
      <c r="G2023" s="9">
        <v>302</v>
      </c>
      <c r="H2023" s="5" t="s">
        <v>20</v>
      </c>
      <c r="I2023" s="5" t="s">
        <v>4927</v>
      </c>
      <c r="J2023" s="12" t="str">
        <f>HYPERLINK("https://www.boe.es/gazeta/dias/1807/03/17/pdfs/GMD-1807-25.pdf#page=10","Abrir facsímil")</f>
        <v>Abrir facsímil</v>
      </c>
      <c r="K2023" s="15" t="s">
        <v>22</v>
      </c>
    </row>
    <row r="2024" spans="1:11" ht="42" customHeight="1">
      <c r="A2024" s="4" t="s">
        <v>4928</v>
      </c>
      <c r="B2024" s="5" t="s">
        <v>4929</v>
      </c>
      <c r="C2024" s="5" t="s">
        <v>24</v>
      </c>
      <c r="D2024" s="5" t="s">
        <v>18</v>
      </c>
      <c r="E2024" s="5" t="s">
        <v>101</v>
      </c>
      <c r="F2024" s="9">
        <v>23</v>
      </c>
      <c r="G2024" s="9">
        <v>274</v>
      </c>
      <c r="H2024" s="5" t="s">
        <v>20</v>
      </c>
      <c r="I2024" s="5" t="s">
        <v>4930</v>
      </c>
      <c r="J2024" s="12" t="str">
        <f>HYPERLINK("https://www.boe.es/gazeta/dias/1807/03/10/pdfs/GMD-1807-23.pdf#page=14","Abrir facsímil")</f>
        <v>Abrir facsímil</v>
      </c>
      <c r="K2024" s="15" t="s">
        <v>22</v>
      </c>
    </row>
    <row r="2025" spans="1:11" ht="42" customHeight="1">
      <c r="A2025" s="4" t="s">
        <v>4931</v>
      </c>
      <c r="B2025" s="5" t="s">
        <v>4932</v>
      </c>
      <c r="C2025" s="5" t="s">
        <v>24</v>
      </c>
      <c r="D2025" s="5" t="s">
        <v>18</v>
      </c>
      <c r="E2025" s="5" t="s">
        <v>418</v>
      </c>
      <c r="F2025" s="9">
        <v>4</v>
      </c>
      <c r="G2025" s="9">
        <v>43</v>
      </c>
      <c r="H2025" s="5" t="s">
        <v>20</v>
      </c>
      <c r="I2025" s="5" t="s">
        <v>4933</v>
      </c>
      <c r="J2025" s="12" t="str">
        <f>HYPERLINK("https://www.boe.es/gazeta/dias/1807/01/13/pdfs/GMD-1807-4.pdf#page=11","Abrir facsímil")</f>
        <v>Abrir facsímil</v>
      </c>
      <c r="K2025" s="15" t="s">
        <v>22</v>
      </c>
    </row>
    <row r="2026" spans="1:11" ht="42" customHeight="1">
      <c r="A2026" s="4" t="s">
        <v>4931</v>
      </c>
      <c r="B2026" s="5" t="s">
        <v>4932</v>
      </c>
      <c r="C2026" s="5" t="s">
        <v>24</v>
      </c>
      <c r="D2026" s="5" t="s">
        <v>18</v>
      </c>
      <c r="E2026" s="5" t="s">
        <v>282</v>
      </c>
      <c r="F2026" s="9">
        <v>16</v>
      </c>
      <c r="G2026" s="9">
        <v>187</v>
      </c>
      <c r="H2026" s="5" t="s">
        <v>20</v>
      </c>
      <c r="I2026" s="5" t="s">
        <v>4934</v>
      </c>
      <c r="J2026" s="12" t="str">
        <f>HYPERLINK("https://www.boe.es/gazeta/dias/1807/02/17/pdfs/GMD-1807-16.pdf#page=11","Abrir facsímil")</f>
        <v>Abrir facsímil</v>
      </c>
      <c r="K2026" s="15" t="s">
        <v>22</v>
      </c>
    </row>
    <row r="2027" spans="1:11" ht="42" customHeight="1">
      <c r="A2027" s="4" t="s">
        <v>4931</v>
      </c>
      <c r="B2027" s="5" t="s">
        <v>4932</v>
      </c>
      <c r="C2027" s="5" t="s">
        <v>24</v>
      </c>
      <c r="D2027" s="5" t="s">
        <v>18</v>
      </c>
      <c r="E2027" s="5" t="s">
        <v>478</v>
      </c>
      <c r="F2027" s="9">
        <v>30</v>
      </c>
      <c r="G2027" s="9">
        <v>359</v>
      </c>
      <c r="H2027" s="5" t="s">
        <v>20</v>
      </c>
      <c r="I2027" s="5" t="s">
        <v>4935</v>
      </c>
      <c r="J2027" s="12" t="str">
        <f>HYPERLINK("https://www.boe.es/gazeta/dias/1807/04/03/pdfs/GMD-1807-30.pdf#page=11","Abrir facsímil")</f>
        <v>Abrir facsímil</v>
      </c>
      <c r="K2027" s="15" t="s">
        <v>22</v>
      </c>
    </row>
    <row r="2028" spans="1:11" ht="42" customHeight="1">
      <c r="A2028" s="4" t="s">
        <v>4931</v>
      </c>
      <c r="B2028" s="5" t="s">
        <v>4932</v>
      </c>
      <c r="C2028" s="5" t="s">
        <v>24</v>
      </c>
      <c r="D2028" s="5" t="s">
        <v>18</v>
      </c>
      <c r="E2028" s="5" t="s">
        <v>98</v>
      </c>
      <c r="F2028" s="9">
        <v>34</v>
      </c>
      <c r="G2028" s="9">
        <v>407</v>
      </c>
      <c r="H2028" s="5" t="s">
        <v>20</v>
      </c>
      <c r="I2028" s="5" t="s">
        <v>4936</v>
      </c>
      <c r="J2028" s="12" t="str">
        <f>HYPERLINK("https://www.boe.es/gazeta/dias/1807/04/17/pdfs/GMD-1807-34.pdf#page=11","Abrir facsímil")</f>
        <v>Abrir facsímil</v>
      </c>
      <c r="K2028" s="15" t="s">
        <v>22</v>
      </c>
    </row>
    <row r="2029" spans="1:11" ht="42" customHeight="1">
      <c r="A2029" s="4" t="s">
        <v>4931</v>
      </c>
      <c r="B2029" s="5" t="s">
        <v>4932</v>
      </c>
      <c r="C2029" s="5" t="s">
        <v>28</v>
      </c>
      <c r="D2029" s="5" t="s">
        <v>29</v>
      </c>
      <c r="E2029" s="5" t="s">
        <v>19</v>
      </c>
      <c r="F2029" s="9">
        <v>41</v>
      </c>
      <c r="G2029" s="9">
        <v>491</v>
      </c>
      <c r="H2029" s="5" t="s">
        <v>20</v>
      </c>
      <c r="I2029" s="5" t="s">
        <v>4937</v>
      </c>
      <c r="J2029" s="12" t="str">
        <f>HYPERLINK("https://www.boe.es/gazeta/dias/1807/05/12/pdfs/GMD-1807-41.pdf#page=9","Abrir facsímil")</f>
        <v>Abrir facsímil</v>
      </c>
      <c r="K2029" s="15" t="s">
        <v>22</v>
      </c>
    </row>
    <row r="2030" spans="1:11" ht="42" customHeight="1">
      <c r="A2030" s="4" t="s">
        <v>4931</v>
      </c>
      <c r="B2030" s="5" t="s">
        <v>4932</v>
      </c>
      <c r="C2030" s="5" t="s">
        <v>24</v>
      </c>
      <c r="D2030" s="5" t="s">
        <v>18</v>
      </c>
      <c r="E2030" s="5" t="s">
        <v>65</v>
      </c>
      <c r="F2030" s="9">
        <v>52</v>
      </c>
      <c r="G2030" s="9">
        <v>623</v>
      </c>
      <c r="H2030" s="5" t="s">
        <v>20</v>
      </c>
      <c r="I2030" s="5" t="s">
        <v>4938</v>
      </c>
      <c r="J2030" s="12" t="str">
        <f>HYPERLINK("https://www.boe.es/gazeta/dias/1807/06/19/pdfs/GMD-1807-52.pdf#page=13","Abrir facsímil")</f>
        <v>Abrir facsímil</v>
      </c>
      <c r="K2030" s="15" t="s">
        <v>22</v>
      </c>
    </row>
    <row r="2031" spans="1:11" ht="42" customHeight="1">
      <c r="A2031" s="4" t="s">
        <v>4931</v>
      </c>
      <c r="B2031" s="5" t="s">
        <v>4932</v>
      </c>
      <c r="C2031" s="5" t="s">
        <v>24</v>
      </c>
      <c r="D2031" s="5" t="s">
        <v>18</v>
      </c>
      <c r="E2031" s="5" t="s">
        <v>319</v>
      </c>
      <c r="F2031" s="9">
        <v>54</v>
      </c>
      <c r="G2031" s="9">
        <v>648</v>
      </c>
      <c r="H2031" s="5" t="s">
        <v>20</v>
      </c>
      <c r="I2031" s="5" t="s">
        <v>4939</v>
      </c>
      <c r="J2031" s="12" t="str">
        <f>HYPERLINK("https://www.boe.es/gazeta/dias/1807/06/26/pdfs/GMD-1807-54.pdf#page=10","Abrir facsímil")</f>
        <v>Abrir facsímil</v>
      </c>
      <c r="K2031" s="15" t="s">
        <v>22</v>
      </c>
    </row>
    <row r="2032" spans="1:11" ht="42" customHeight="1">
      <c r="A2032" s="4" t="s">
        <v>4931</v>
      </c>
      <c r="B2032" s="5" t="s">
        <v>4932</v>
      </c>
      <c r="C2032" s="5" t="s">
        <v>24</v>
      </c>
      <c r="D2032" s="5" t="s">
        <v>18</v>
      </c>
      <c r="E2032" s="5" t="s">
        <v>581</v>
      </c>
      <c r="F2032" s="9">
        <v>71</v>
      </c>
      <c r="G2032" s="9">
        <v>817</v>
      </c>
      <c r="H2032" s="5" t="s">
        <v>20</v>
      </c>
      <c r="I2032" s="5" t="s">
        <v>4940</v>
      </c>
      <c r="J2032" s="12" t="str">
        <f>HYPERLINK("https://www.boe.es/gazeta/dias/1807/08/07/pdfs/GMD-1807-71.pdf#page=9","Abrir facsímil")</f>
        <v>Abrir facsímil</v>
      </c>
      <c r="K2032" s="15" t="s">
        <v>22</v>
      </c>
    </row>
    <row r="2033" spans="1:11" ht="42" customHeight="1">
      <c r="A2033" s="4" t="s">
        <v>4931</v>
      </c>
      <c r="B2033" s="5" t="s">
        <v>4932</v>
      </c>
      <c r="C2033" s="5" t="s">
        <v>28</v>
      </c>
      <c r="D2033" s="5" t="s">
        <v>29</v>
      </c>
      <c r="E2033" s="5" t="s">
        <v>46</v>
      </c>
      <c r="F2033" s="9">
        <v>78</v>
      </c>
      <c r="G2033" s="9">
        <v>905</v>
      </c>
      <c r="H2033" s="5" t="s">
        <v>20</v>
      </c>
      <c r="I2033" s="5" t="s">
        <v>4941</v>
      </c>
      <c r="J2033" s="12" t="str">
        <f>HYPERLINK("https://www.boe.es/gazeta/dias/1807/09/01/pdfs/GMD-1807-78.pdf#page=9","Abrir facsímil")</f>
        <v>Abrir facsímil</v>
      </c>
      <c r="K2033" s="15" t="s">
        <v>22</v>
      </c>
    </row>
    <row r="2034" spans="1:11" ht="42" customHeight="1">
      <c r="A2034" s="4" t="s">
        <v>4931</v>
      </c>
      <c r="B2034" s="5" t="s">
        <v>4932</v>
      </c>
      <c r="C2034" s="5" t="s">
        <v>24</v>
      </c>
      <c r="D2034" s="5" t="s">
        <v>18</v>
      </c>
      <c r="E2034" s="5" t="s">
        <v>135</v>
      </c>
      <c r="F2034" s="9">
        <v>80</v>
      </c>
      <c r="G2034" s="9">
        <v>935</v>
      </c>
      <c r="H2034" s="5" t="s">
        <v>20</v>
      </c>
      <c r="I2034" s="5" t="s">
        <v>4942</v>
      </c>
      <c r="J2034" s="12" t="str">
        <f>HYPERLINK("https://www.boe.es/gazeta/dias/1807/09/08/pdfs/GMD-1807-80.pdf#page=11","Abrir facsímil")</f>
        <v>Abrir facsímil</v>
      </c>
      <c r="K2034" s="15" t="s">
        <v>22</v>
      </c>
    </row>
    <row r="2035" spans="1:11" ht="42" customHeight="1">
      <c r="A2035" s="4" t="s">
        <v>4931</v>
      </c>
      <c r="B2035" s="5" t="s">
        <v>4932</v>
      </c>
      <c r="C2035" s="5" t="s">
        <v>24</v>
      </c>
      <c r="D2035" s="5" t="s">
        <v>18</v>
      </c>
      <c r="E2035" s="5" t="s">
        <v>127</v>
      </c>
      <c r="F2035" s="9">
        <v>81</v>
      </c>
      <c r="G2035" s="9">
        <v>947</v>
      </c>
      <c r="H2035" s="5" t="s">
        <v>20</v>
      </c>
      <c r="I2035" s="5" t="s">
        <v>4943</v>
      </c>
      <c r="J2035" s="12" t="str">
        <f>HYPERLINK("https://www.boe.es/gazeta/dias/1807/09/11/pdfs/GMD-1807-81.pdf#page=11","Abrir facsímil")</f>
        <v>Abrir facsímil</v>
      </c>
      <c r="K2035" s="15" t="s">
        <v>22</v>
      </c>
    </row>
    <row r="2036" spans="1:11" ht="42" customHeight="1">
      <c r="A2036" s="4" t="s">
        <v>4931</v>
      </c>
      <c r="B2036" s="5" t="s">
        <v>4932</v>
      </c>
      <c r="C2036" s="5" t="s">
        <v>24</v>
      </c>
      <c r="D2036" s="5" t="s">
        <v>18</v>
      </c>
      <c r="E2036" s="5" t="s">
        <v>426</v>
      </c>
      <c r="F2036" s="9">
        <v>93</v>
      </c>
      <c r="G2036" s="9">
        <v>1082</v>
      </c>
      <c r="H2036" s="5" t="s">
        <v>20</v>
      </c>
      <c r="I2036" s="5" t="s">
        <v>4944</v>
      </c>
      <c r="J2036" s="12" t="str">
        <f>HYPERLINK("https://www.boe.es/gazeta/dias/1807/10/16/pdfs/GMD-1807-93.pdf#page=10","Abrir facsímil")</f>
        <v>Abrir facsímil</v>
      </c>
      <c r="K2036" s="15" t="s">
        <v>22</v>
      </c>
    </row>
    <row r="2037" spans="1:11" ht="42" customHeight="1">
      <c r="A2037" s="4" t="s">
        <v>4931</v>
      </c>
      <c r="B2037" s="5" t="s">
        <v>4932</v>
      </c>
      <c r="C2037" s="5" t="s">
        <v>28</v>
      </c>
      <c r="D2037" s="5" t="s">
        <v>29</v>
      </c>
      <c r="E2037" s="5" t="s">
        <v>1076</v>
      </c>
      <c r="F2037" s="9">
        <v>96</v>
      </c>
      <c r="G2037" s="9">
        <v>1118</v>
      </c>
      <c r="H2037" s="5" t="s">
        <v>20</v>
      </c>
      <c r="I2037" s="5" t="s">
        <v>4945</v>
      </c>
      <c r="J2037" s="12" t="str">
        <f>HYPERLINK("https://www.boe.es/gazeta/dias/1807/10/27/pdfs/GMD-1807-96.pdf#page=10","Abrir facsímil")</f>
        <v>Abrir facsímil</v>
      </c>
      <c r="K2037" s="15" t="s">
        <v>22</v>
      </c>
    </row>
    <row r="2038" spans="1:11" ht="42" customHeight="1">
      <c r="A2038" s="4" t="s">
        <v>4946</v>
      </c>
      <c r="B2038" s="5" t="s">
        <v>4946</v>
      </c>
      <c r="C2038" s="5" t="s">
        <v>17</v>
      </c>
      <c r="D2038" s="5" t="s">
        <v>18</v>
      </c>
      <c r="E2038" s="5" t="s">
        <v>581</v>
      </c>
      <c r="F2038" s="9">
        <v>71</v>
      </c>
      <c r="G2038" s="9">
        <v>817</v>
      </c>
      <c r="H2038" s="5" t="s">
        <v>20</v>
      </c>
      <c r="I2038" s="5" t="s">
        <v>4947</v>
      </c>
      <c r="J2038" s="12" t="str">
        <f>HYPERLINK("https://www.boe.es/gazeta/dias/1807/08/07/pdfs/GMD-1807-71.pdf#page=9","Abrir facsímil")</f>
        <v>Abrir facsímil</v>
      </c>
      <c r="K2038" s="15" t="s">
        <v>22</v>
      </c>
    </row>
    <row r="2039" spans="1:11" ht="42" customHeight="1">
      <c r="A2039" s="4" t="s">
        <v>4948</v>
      </c>
      <c r="B2039" s="5" t="s">
        <v>4949</v>
      </c>
      <c r="C2039" s="5" t="s">
        <v>34</v>
      </c>
      <c r="D2039" s="5" t="s">
        <v>35</v>
      </c>
      <c r="E2039" s="5" t="s">
        <v>109</v>
      </c>
      <c r="F2039" s="9">
        <v>58</v>
      </c>
      <c r="G2039" s="9">
        <v>688</v>
      </c>
      <c r="H2039" s="5" t="s">
        <v>20</v>
      </c>
      <c r="I2039" s="5" t="s">
        <v>4950</v>
      </c>
      <c r="J2039" s="12" t="str">
        <f>HYPERLINK("https://www.boe.es/gazeta/dias/1807/07/07/pdfs/GMD-1807-58.pdf#page=6","Abrir facsímil")</f>
        <v>Abrir facsímil</v>
      </c>
      <c r="K2039" s="15" t="s">
        <v>22</v>
      </c>
    </row>
    <row r="2040" spans="1:11" ht="42" customHeight="1">
      <c r="A2040" s="4" t="s">
        <v>4951</v>
      </c>
      <c r="B2040" s="5" t="s">
        <v>4952</v>
      </c>
      <c r="C2040" s="5" t="s">
        <v>34</v>
      </c>
      <c r="D2040" s="5" t="s">
        <v>35</v>
      </c>
      <c r="E2040" s="5" t="s">
        <v>406</v>
      </c>
      <c r="F2040" s="9">
        <v>82</v>
      </c>
      <c r="G2040" s="9">
        <v>956</v>
      </c>
      <c r="H2040" s="5" t="s">
        <v>20</v>
      </c>
      <c r="I2040" s="5" t="s">
        <v>4953</v>
      </c>
      <c r="J2040" s="12" t="str">
        <f>HYPERLINK("https://www.boe.es/gazeta/dias/1807/09/15/pdfs/GMD-1807-82.pdf#page=8","Abrir facsímil")</f>
        <v>Abrir facsímil</v>
      </c>
      <c r="K2040" s="15" t="s">
        <v>22</v>
      </c>
    </row>
    <row r="2041" spans="1:11" ht="42" customHeight="1">
      <c r="A2041" s="4" t="s">
        <v>4954</v>
      </c>
      <c r="B2041" s="5" t="s">
        <v>4955</v>
      </c>
      <c r="C2041" s="5" t="s">
        <v>28</v>
      </c>
      <c r="D2041" s="5" t="s">
        <v>29</v>
      </c>
      <c r="E2041" s="5" t="s">
        <v>156</v>
      </c>
      <c r="F2041" s="9">
        <v>74</v>
      </c>
      <c r="G2041" s="9">
        <v>855</v>
      </c>
      <c r="H2041" s="5" t="s">
        <v>20</v>
      </c>
      <c r="I2041" s="5" t="s">
        <v>4956</v>
      </c>
      <c r="J2041" s="12" t="str">
        <f>HYPERLINK("https://www.boe.es/gazeta/dias/1807/08/18/pdfs/GMD-1807-74.pdf#page=7","Abrir facsímil")</f>
        <v>Abrir facsímil</v>
      </c>
      <c r="K2041" s="15" t="s">
        <v>22</v>
      </c>
    </row>
    <row r="2042" spans="1:11" ht="42" customHeight="1">
      <c r="A2042" s="4" t="s">
        <v>4954</v>
      </c>
      <c r="B2042" s="5" t="s">
        <v>4955</v>
      </c>
      <c r="C2042" s="5" t="s">
        <v>89</v>
      </c>
      <c r="D2042" s="5" t="s">
        <v>90</v>
      </c>
      <c r="E2042" s="5" t="s">
        <v>156</v>
      </c>
      <c r="F2042" s="9">
        <v>74</v>
      </c>
      <c r="G2042" s="9">
        <v>856</v>
      </c>
      <c r="H2042" s="5" t="s">
        <v>20</v>
      </c>
      <c r="I2042" s="5" t="s">
        <v>4957</v>
      </c>
      <c r="J2042" s="12" t="str">
        <f>HYPERLINK("https://www.boe.es/gazeta/dias/1807/08/18/pdfs/GMD-1807-74.pdf#page=8","Abrir facsímil")</f>
        <v>Abrir facsímil</v>
      </c>
      <c r="K2042" s="15" t="s">
        <v>22</v>
      </c>
    </row>
    <row r="2043" spans="1:11" ht="42" customHeight="1">
      <c r="A2043" s="4" t="s">
        <v>4958</v>
      </c>
      <c r="B2043" s="5" t="s">
        <v>4959</v>
      </c>
      <c r="C2043" s="5" t="s">
        <v>24</v>
      </c>
      <c r="D2043" s="5" t="s">
        <v>18</v>
      </c>
      <c r="E2043" s="5" t="s">
        <v>221</v>
      </c>
      <c r="F2043" s="9">
        <v>73</v>
      </c>
      <c r="G2043" s="9">
        <v>848</v>
      </c>
      <c r="H2043" s="5" t="s">
        <v>20</v>
      </c>
      <c r="I2043" s="5" t="s">
        <v>4960</v>
      </c>
      <c r="J2043" s="12" t="str">
        <f>HYPERLINK("https://www.boe.es/gazeta/dias/1807/08/14/pdfs/GMD-1807-73.pdf#page=12","Abrir facsímil")</f>
        <v>Abrir facsímil</v>
      </c>
      <c r="K2043" s="15" t="s">
        <v>22</v>
      </c>
    </row>
    <row r="2044" spans="1:11" ht="42" customHeight="1">
      <c r="A2044" s="4" t="s">
        <v>4961</v>
      </c>
      <c r="B2044" s="5" t="s">
        <v>4962</v>
      </c>
      <c r="C2044" s="5" t="s">
        <v>34</v>
      </c>
      <c r="D2044" s="5" t="s">
        <v>35</v>
      </c>
      <c r="E2044" s="5" t="s">
        <v>40</v>
      </c>
      <c r="F2044" s="9">
        <v>26</v>
      </c>
      <c r="G2044" s="9">
        <v>312</v>
      </c>
      <c r="H2044" s="5" t="s">
        <v>20</v>
      </c>
      <c r="I2044" s="5" t="s">
        <v>4963</v>
      </c>
      <c r="J2044" s="12" t="str">
        <f>HYPERLINK("https://www.boe.es/gazeta/dias/1807/03/20/pdfs/GMD-1807-26.pdf#page=8","Abrir facsímil")</f>
        <v>Abrir facsímil</v>
      </c>
      <c r="K2044" s="15" t="s">
        <v>22</v>
      </c>
    </row>
    <row r="2045" spans="1:11" ht="42" customHeight="1">
      <c r="A2045" s="4" t="s">
        <v>4961</v>
      </c>
      <c r="B2045" s="5" t="s">
        <v>4962</v>
      </c>
      <c r="C2045" s="5" t="s">
        <v>28</v>
      </c>
      <c r="D2045" s="5" t="s">
        <v>29</v>
      </c>
      <c r="E2045" s="5" t="s">
        <v>123</v>
      </c>
      <c r="F2045" s="9">
        <v>70</v>
      </c>
      <c r="G2045" s="9">
        <v>805</v>
      </c>
      <c r="H2045" s="5" t="s">
        <v>20</v>
      </c>
      <c r="I2045" s="5" t="s">
        <v>4964</v>
      </c>
      <c r="J2045" s="12" t="str">
        <f>HYPERLINK("https://www.boe.es/gazeta/dias/1807/08/04/pdfs/GMD-1807-70.pdf#page=9","Abrir facsímil")</f>
        <v>Abrir facsímil</v>
      </c>
      <c r="K2045" s="15" t="s">
        <v>22</v>
      </c>
    </row>
    <row r="2046" spans="1:11" ht="42" customHeight="1">
      <c r="A2046" s="4" t="s">
        <v>4965</v>
      </c>
      <c r="B2046" s="5" t="s">
        <v>4966</v>
      </c>
      <c r="C2046" s="5" t="s">
        <v>89</v>
      </c>
      <c r="D2046" s="5" t="s">
        <v>90</v>
      </c>
      <c r="E2046" s="5" t="s">
        <v>309</v>
      </c>
      <c r="F2046" s="9">
        <v>107</v>
      </c>
      <c r="G2046" s="9">
        <v>1249</v>
      </c>
      <c r="H2046" s="5" t="s">
        <v>20</v>
      </c>
      <c r="I2046" s="5" t="s">
        <v>4967</v>
      </c>
      <c r="J2046" s="12" t="str">
        <f>HYPERLINK("https://www.boe.es/gazeta/dias/1807/12/01/pdfs/GMD-1807-107.pdf#page=9","Abrir facsímil")</f>
        <v>Abrir facsímil</v>
      </c>
      <c r="K2046" s="15" t="s">
        <v>22</v>
      </c>
    </row>
    <row r="2047" spans="1:11" ht="42" customHeight="1">
      <c r="A2047" s="4" t="s">
        <v>4968</v>
      </c>
      <c r="B2047" s="5" t="s">
        <v>4969</v>
      </c>
      <c r="C2047" s="5" t="s">
        <v>28</v>
      </c>
      <c r="D2047" s="5" t="s">
        <v>29</v>
      </c>
      <c r="E2047" s="5" t="s">
        <v>42</v>
      </c>
      <c r="F2047" s="9">
        <v>31</v>
      </c>
      <c r="G2047" s="9">
        <v>367</v>
      </c>
      <c r="H2047" s="5" t="s">
        <v>20</v>
      </c>
      <c r="I2047" s="5" t="s">
        <v>4970</v>
      </c>
      <c r="J2047" s="12" t="str">
        <f>HYPERLINK("https://www.boe.es/gazeta/dias/1807/04/07/pdfs/GMD-1807-31.pdf#page=7","Abrir facsímil")</f>
        <v>Abrir facsímil</v>
      </c>
      <c r="K2047" s="15" t="s">
        <v>22</v>
      </c>
    </row>
    <row r="2048" spans="1:11" ht="42" customHeight="1">
      <c r="A2048" s="4" t="s">
        <v>4971</v>
      </c>
      <c r="B2048" s="5" t="s">
        <v>4971</v>
      </c>
      <c r="C2048" s="5" t="s">
        <v>28</v>
      </c>
      <c r="D2048" s="5" t="s">
        <v>29</v>
      </c>
      <c r="E2048" s="5" t="s">
        <v>139</v>
      </c>
      <c r="F2048" s="9">
        <v>110</v>
      </c>
      <c r="G2048" s="9">
        <v>1286</v>
      </c>
      <c r="H2048" s="5" t="s">
        <v>20</v>
      </c>
      <c r="I2048" s="5" t="s">
        <v>4972</v>
      </c>
      <c r="J2048" s="12" t="str">
        <f>HYPERLINK("https://www.boe.es/gazeta/dias/1807/12/11/pdfs/GMD-1807-110.pdf#page=10","Abrir facsímil")</f>
        <v>Abrir facsímil</v>
      </c>
      <c r="K2048" s="15" t="s">
        <v>22</v>
      </c>
    </row>
    <row r="2049" spans="1:11" ht="42" customHeight="1">
      <c r="A2049" s="4" t="s">
        <v>4973</v>
      </c>
      <c r="B2049" s="5" t="s">
        <v>4973</v>
      </c>
      <c r="C2049" s="5" t="s">
        <v>69</v>
      </c>
      <c r="D2049" s="5" t="s">
        <v>70</v>
      </c>
      <c r="E2049" s="5" t="s">
        <v>71</v>
      </c>
      <c r="F2049" s="9">
        <v>35</v>
      </c>
      <c r="G2049" s="9" t="s">
        <v>2055</v>
      </c>
      <c r="H2049" s="5" t="s">
        <v>20</v>
      </c>
      <c r="I2049" s="5" t="s">
        <v>4974</v>
      </c>
      <c r="J2049" s="12" t="str">
        <f>HYPERLINK("https://www.boe.es/gazeta/dias/1807/04/21/pdfs/C00001-00004.pdf#page=2","Abrir facsímil")</f>
        <v>Abrir facsímil</v>
      </c>
      <c r="K2049" s="15" t="s">
        <v>22</v>
      </c>
    </row>
    <row r="2050" spans="1:11" ht="42" customHeight="1">
      <c r="A2050" s="4" t="s">
        <v>4975</v>
      </c>
      <c r="B2050" s="5" t="s">
        <v>4976</v>
      </c>
      <c r="C2050" s="5" t="s">
        <v>28</v>
      </c>
      <c r="D2050" s="5" t="s">
        <v>29</v>
      </c>
      <c r="E2050" s="5" t="s">
        <v>418</v>
      </c>
      <c r="F2050" s="9">
        <v>4</v>
      </c>
      <c r="G2050" s="9">
        <v>40</v>
      </c>
      <c r="H2050" s="5" t="s">
        <v>20</v>
      </c>
      <c r="I2050" s="5" t="s">
        <v>4977</v>
      </c>
      <c r="J2050" s="12" t="str">
        <f>HYPERLINK("https://www.boe.es/gazeta/dias/1807/01/13/pdfs/GMD-1807-4.pdf#page=8","Abrir facsímil")</f>
        <v>Abrir facsímil</v>
      </c>
      <c r="K2050" s="15" t="s">
        <v>22</v>
      </c>
    </row>
    <row r="2051" spans="1:11" ht="42" customHeight="1">
      <c r="A2051" s="4" t="s">
        <v>4978</v>
      </c>
      <c r="B2051" s="5" t="s">
        <v>4979</v>
      </c>
      <c r="C2051" s="5" t="s">
        <v>28</v>
      </c>
      <c r="D2051" s="5" t="s">
        <v>29</v>
      </c>
      <c r="E2051" s="5" t="s">
        <v>418</v>
      </c>
      <c r="F2051" s="9">
        <v>4</v>
      </c>
      <c r="G2051" s="9">
        <v>41</v>
      </c>
      <c r="H2051" s="5" t="s">
        <v>20</v>
      </c>
      <c r="I2051" s="5" t="s">
        <v>4980</v>
      </c>
      <c r="J2051" s="12" t="str">
        <f>HYPERLINK("https://www.boe.es/gazeta/dias/1807/01/13/pdfs/GMD-1807-4.pdf#page=9","Abrir facsímil")</f>
        <v>Abrir facsímil</v>
      </c>
      <c r="K2051" s="15" t="s">
        <v>22</v>
      </c>
    </row>
    <row r="2052" spans="1:11" ht="42" customHeight="1">
      <c r="A2052" s="4" t="s">
        <v>4981</v>
      </c>
      <c r="B2052" s="5" t="s">
        <v>4982</v>
      </c>
      <c r="C2052" s="5" t="s">
        <v>17</v>
      </c>
      <c r="D2052" s="5" t="s">
        <v>18</v>
      </c>
      <c r="E2052" s="5" t="s">
        <v>305</v>
      </c>
      <c r="F2052" s="9">
        <v>53</v>
      </c>
      <c r="G2052" s="9">
        <v>634</v>
      </c>
      <c r="H2052" s="5" t="s">
        <v>20</v>
      </c>
      <c r="I2052" s="5" t="s">
        <v>4983</v>
      </c>
      <c r="J2052" s="12" t="str">
        <f>HYPERLINK("https://www.boe.es/gazeta/dias/1807/06/23/pdfs/GMD-1807-53.pdf#page=8","Abrir facsímil")</f>
        <v>Abrir facsímil</v>
      </c>
      <c r="K2052" s="15" t="s">
        <v>22</v>
      </c>
    </row>
    <row r="2053" spans="1:11" ht="42" customHeight="1">
      <c r="A2053" s="4" t="s">
        <v>4984</v>
      </c>
      <c r="B2053" s="5" t="s">
        <v>4985</v>
      </c>
      <c r="C2053" s="5" t="s">
        <v>34</v>
      </c>
      <c r="D2053" s="5" t="s">
        <v>35</v>
      </c>
      <c r="E2053" s="5" t="s">
        <v>65</v>
      </c>
      <c r="F2053" s="9">
        <v>52</v>
      </c>
      <c r="G2053" s="9">
        <v>621</v>
      </c>
      <c r="H2053" s="5" t="s">
        <v>20</v>
      </c>
      <c r="I2053" s="5" t="s">
        <v>4986</v>
      </c>
      <c r="J2053" s="12" t="str">
        <f>HYPERLINK("https://www.boe.es/gazeta/dias/1807/06/19/pdfs/GMD-1807-52.pdf#page=11","Abrir facsímil")</f>
        <v>Abrir facsímil</v>
      </c>
      <c r="K2053" s="15" t="s">
        <v>22</v>
      </c>
    </row>
    <row r="2054" spans="1:11" ht="42" customHeight="1">
      <c r="A2054" s="4" t="s">
        <v>4987</v>
      </c>
      <c r="B2054" s="5" t="s">
        <v>4988</v>
      </c>
      <c r="C2054" s="5" t="s">
        <v>34</v>
      </c>
      <c r="D2054" s="5" t="s">
        <v>35</v>
      </c>
      <c r="E2054" s="5" t="s">
        <v>62</v>
      </c>
      <c r="F2054" s="9">
        <v>68</v>
      </c>
      <c r="G2054" s="9">
        <v>784</v>
      </c>
      <c r="H2054" s="5" t="s">
        <v>20</v>
      </c>
      <c r="I2054" s="5" t="s">
        <v>4989</v>
      </c>
      <c r="J2054" s="12" t="str">
        <f>HYPERLINK("https://www.boe.es/gazeta/dias/1807/07/31/pdfs/GMD-1807-68.pdf#page=8","Abrir facsímil")</f>
        <v>Abrir facsímil</v>
      </c>
      <c r="K2054" s="15" t="s">
        <v>22</v>
      </c>
    </row>
    <row r="2055" spans="1:11" ht="42" customHeight="1">
      <c r="A2055" s="4" t="s">
        <v>4990</v>
      </c>
      <c r="B2055" s="5" t="s">
        <v>4991</v>
      </c>
      <c r="C2055" s="5" t="s">
        <v>49</v>
      </c>
      <c r="D2055" s="5" t="s">
        <v>50</v>
      </c>
      <c r="E2055" s="5" t="s">
        <v>464</v>
      </c>
      <c r="F2055" s="9">
        <v>18</v>
      </c>
      <c r="G2055" s="9">
        <v>205</v>
      </c>
      <c r="H2055" s="5" t="s">
        <v>20</v>
      </c>
      <c r="I2055" s="5" t="s">
        <v>4992</v>
      </c>
      <c r="J2055" s="12" t="str">
        <f>HYPERLINK("https://www.boe.es/gazeta/dias/1807/02/24/pdfs/GMD-1807-18.pdf#page=5","Abrir facsímil")</f>
        <v>Abrir facsímil</v>
      </c>
      <c r="K2055" s="15" t="s">
        <v>22</v>
      </c>
    </row>
    <row r="2056" spans="1:11" ht="42" customHeight="1">
      <c r="A2056" s="4" t="s">
        <v>4993</v>
      </c>
      <c r="B2056" s="5" t="s">
        <v>4993</v>
      </c>
      <c r="C2056" s="5" t="s">
        <v>49</v>
      </c>
      <c r="D2056" s="5" t="s">
        <v>50</v>
      </c>
      <c r="E2056" s="5" t="s">
        <v>30</v>
      </c>
      <c r="F2056" s="9">
        <v>13</v>
      </c>
      <c r="G2056" s="9">
        <v>147</v>
      </c>
      <c r="H2056" s="5" t="s">
        <v>20</v>
      </c>
      <c r="I2056" s="5" t="s">
        <v>4994</v>
      </c>
      <c r="J2056" s="12" t="str">
        <f>HYPERLINK("https://www.boe.es/gazeta/dias/1807/02/06/pdfs/GMD-1807-13.pdf#page=7","Abrir facsímil")</f>
        <v>Abrir facsímil</v>
      </c>
      <c r="K2056" s="15" t="s">
        <v>22</v>
      </c>
    </row>
    <row r="2057" spans="1:11" ht="42" customHeight="1">
      <c r="A2057" s="4" t="s">
        <v>4995</v>
      </c>
      <c r="B2057" s="5" t="s">
        <v>4996</v>
      </c>
      <c r="C2057" s="5" t="s">
        <v>34</v>
      </c>
      <c r="D2057" s="5" t="s">
        <v>35</v>
      </c>
      <c r="E2057" s="5" t="s">
        <v>40</v>
      </c>
      <c r="F2057" s="9">
        <v>26</v>
      </c>
      <c r="G2057" s="9">
        <v>313</v>
      </c>
      <c r="H2057" s="5" t="s">
        <v>20</v>
      </c>
      <c r="I2057" s="5" t="s">
        <v>4997</v>
      </c>
      <c r="J2057" s="12" t="str">
        <f>HYPERLINK("https://www.boe.es/gazeta/dias/1807/03/20/pdfs/GMD-1807-26.pdf#page=9","Abrir facsímil")</f>
        <v>Abrir facsímil</v>
      </c>
      <c r="K2057" s="15" t="s">
        <v>22</v>
      </c>
    </row>
    <row r="2058" spans="1:11" ht="42" customHeight="1">
      <c r="A2058" s="4" t="s">
        <v>4998</v>
      </c>
      <c r="B2058" s="5" t="s">
        <v>4999</v>
      </c>
      <c r="C2058" s="5" t="s">
        <v>34</v>
      </c>
      <c r="D2058" s="5" t="s">
        <v>35</v>
      </c>
      <c r="E2058" s="5" t="s">
        <v>109</v>
      </c>
      <c r="F2058" s="9">
        <v>58</v>
      </c>
      <c r="G2058" s="9">
        <v>688</v>
      </c>
      <c r="H2058" s="5" t="s">
        <v>20</v>
      </c>
      <c r="I2058" s="5" t="s">
        <v>5000</v>
      </c>
      <c r="J2058" s="12" t="str">
        <f>HYPERLINK("https://www.boe.es/gazeta/dias/1807/07/07/pdfs/GMD-1807-58.pdf#page=6","Abrir facsímil")</f>
        <v>Abrir facsímil</v>
      </c>
      <c r="K2058" s="15" t="s">
        <v>22</v>
      </c>
    </row>
    <row r="2059" spans="1:11" ht="42" customHeight="1">
      <c r="A2059" s="4" t="s">
        <v>5001</v>
      </c>
      <c r="B2059" s="5" t="s">
        <v>5001</v>
      </c>
      <c r="C2059" s="5" t="s">
        <v>28</v>
      </c>
      <c r="D2059" s="5" t="s">
        <v>29</v>
      </c>
      <c r="E2059" s="5" t="s">
        <v>1340</v>
      </c>
      <c r="F2059" s="9">
        <v>114</v>
      </c>
      <c r="G2059" s="9">
        <v>1326</v>
      </c>
      <c r="H2059" s="5" t="s">
        <v>20</v>
      </c>
      <c r="I2059" s="5" t="s">
        <v>5002</v>
      </c>
      <c r="J2059" s="12" t="str">
        <f>HYPERLINK("https://www.boe.es/gazeta/dias/1807/12/25/pdfs/GMD-1807-114.pdf#page=2","Abrir facsímil")</f>
        <v>Abrir facsímil</v>
      </c>
      <c r="K2059" s="15" t="s">
        <v>22</v>
      </c>
    </row>
    <row r="2060" spans="1:11" ht="42" customHeight="1">
      <c r="A2060" s="4" t="s">
        <v>5003</v>
      </c>
      <c r="B2060" s="5" t="s">
        <v>5003</v>
      </c>
      <c r="C2060" s="5" t="s">
        <v>49</v>
      </c>
      <c r="D2060" s="5" t="s">
        <v>50</v>
      </c>
      <c r="E2060" s="5" t="s">
        <v>259</v>
      </c>
      <c r="F2060" s="9">
        <v>3</v>
      </c>
      <c r="G2060" s="9">
        <v>22</v>
      </c>
      <c r="H2060" s="5" t="s">
        <v>20</v>
      </c>
      <c r="I2060" s="5" t="s">
        <v>5004</v>
      </c>
      <c r="J2060" s="12" t="str">
        <f>HYPERLINK("https://www.boe.es/gazeta/dias/1807/01/09/pdfs/GMD-1807-3.pdf#page=2","Abrir facsímil")</f>
        <v>Abrir facsímil</v>
      </c>
      <c r="K2060" s="15" t="s">
        <v>22</v>
      </c>
    </row>
    <row r="2061" spans="1:11" ht="42" customHeight="1">
      <c r="A2061" s="4" t="s">
        <v>5005</v>
      </c>
      <c r="B2061" s="5" t="s">
        <v>5005</v>
      </c>
      <c r="C2061" s="5" t="s">
        <v>34</v>
      </c>
      <c r="D2061" s="5" t="s">
        <v>35</v>
      </c>
      <c r="E2061" s="5" t="s">
        <v>426</v>
      </c>
      <c r="F2061" s="9">
        <v>93</v>
      </c>
      <c r="G2061" s="9">
        <v>1075</v>
      </c>
      <c r="H2061" s="5" t="s">
        <v>20</v>
      </c>
      <c r="I2061" s="5" t="s">
        <v>5006</v>
      </c>
      <c r="J2061" s="12" t="str">
        <f>HYPERLINK("https://www.boe.es/gazeta/dias/1807/10/16/pdfs/GMD-1807-93.pdf#page=3","Abrir facsímil")</f>
        <v>Abrir facsímil</v>
      </c>
      <c r="K2061" s="15" t="s">
        <v>22</v>
      </c>
    </row>
    <row r="2062" spans="1:11" ht="42" customHeight="1">
      <c r="A2062" s="4" t="s">
        <v>5005</v>
      </c>
      <c r="B2062" s="5" t="s">
        <v>5005</v>
      </c>
      <c r="C2062" s="5" t="s">
        <v>34</v>
      </c>
      <c r="D2062" s="5" t="s">
        <v>35</v>
      </c>
      <c r="E2062" s="5" t="s">
        <v>426</v>
      </c>
      <c r="F2062" s="9">
        <v>93</v>
      </c>
      <c r="G2062" s="9">
        <v>1076</v>
      </c>
      <c r="H2062" s="5" t="s">
        <v>20</v>
      </c>
      <c r="I2062" s="5" t="s">
        <v>5007</v>
      </c>
      <c r="J2062" s="12" t="str">
        <f>HYPERLINK("https://www.boe.es/gazeta/dias/1807/10/16/pdfs/GMD-1807-93.pdf#page=4","Abrir facsímil")</f>
        <v>Abrir facsímil</v>
      </c>
      <c r="K2062" s="15" t="s">
        <v>22</v>
      </c>
    </row>
    <row r="2063" spans="1:11" ht="42" customHeight="1">
      <c r="A2063" s="4" t="s">
        <v>5008</v>
      </c>
      <c r="B2063" s="5" t="s">
        <v>5008</v>
      </c>
      <c r="C2063" s="5" t="s">
        <v>49</v>
      </c>
      <c r="D2063" s="5" t="s">
        <v>50</v>
      </c>
      <c r="E2063" s="5" t="s">
        <v>471</v>
      </c>
      <c r="F2063" s="9">
        <v>51</v>
      </c>
      <c r="G2063" s="9">
        <v>602</v>
      </c>
      <c r="H2063" s="5" t="s">
        <v>20</v>
      </c>
      <c r="I2063" s="5" t="s">
        <v>5009</v>
      </c>
      <c r="J2063" s="12" t="str">
        <f>HYPERLINK("https://www.boe.es/gazeta/dias/1807/06/16/pdfs/GMD-1807-51.pdf#page=4","Abrir facsímil")</f>
        <v>Abrir facsímil</v>
      </c>
      <c r="K2063" s="15" t="s">
        <v>22</v>
      </c>
    </row>
    <row r="2064" spans="1:11" ht="42" customHeight="1">
      <c r="A2064" s="4" t="s">
        <v>5008</v>
      </c>
      <c r="B2064" s="5" t="s">
        <v>5008</v>
      </c>
      <c r="C2064" s="5" t="s">
        <v>49</v>
      </c>
      <c r="D2064" s="5" t="s">
        <v>50</v>
      </c>
      <c r="E2064" s="5" t="s">
        <v>793</v>
      </c>
      <c r="F2064" s="9">
        <v>87</v>
      </c>
      <c r="G2064" s="9">
        <v>1001</v>
      </c>
      <c r="H2064" s="5" t="s">
        <v>20</v>
      </c>
      <c r="I2064" s="5" t="s">
        <v>5010</v>
      </c>
      <c r="J2064" s="12" t="str">
        <f>HYPERLINK("https://www.boe.es/gazeta/dias/1807/09/29/pdfs/GMD-1807-87.pdf#page=1","Abrir facsímil")</f>
        <v>Abrir facsímil</v>
      </c>
      <c r="K2064" s="15" t="s">
        <v>22</v>
      </c>
    </row>
    <row r="2065" spans="1:11" ht="42" customHeight="1">
      <c r="A2065" s="4" t="s">
        <v>5011</v>
      </c>
      <c r="B2065" s="5" t="s">
        <v>5011</v>
      </c>
      <c r="C2065" s="5" t="s">
        <v>49</v>
      </c>
      <c r="D2065" s="5" t="s">
        <v>50</v>
      </c>
      <c r="E2065" s="5" t="s">
        <v>135</v>
      </c>
      <c r="F2065" s="9">
        <v>80</v>
      </c>
      <c r="G2065" s="9">
        <v>925</v>
      </c>
      <c r="H2065" s="5" t="s">
        <v>20</v>
      </c>
      <c r="I2065" s="5" t="s">
        <v>5012</v>
      </c>
      <c r="J2065" s="12" t="str">
        <f>HYPERLINK("https://www.boe.es/gazeta/dias/1807/09/08/pdfs/GMD-1807-80.pdf#page=1","Abrir facsímil")</f>
        <v>Abrir facsímil</v>
      </c>
      <c r="K2065" s="15" t="s">
        <v>22</v>
      </c>
    </row>
    <row r="2066" spans="1:11" ht="42" customHeight="1">
      <c r="A2066" s="4" t="s">
        <v>5013</v>
      </c>
      <c r="B2066" s="5" t="s">
        <v>5014</v>
      </c>
      <c r="C2066" s="5" t="s">
        <v>34</v>
      </c>
      <c r="D2066" s="5" t="s">
        <v>35</v>
      </c>
      <c r="E2066" s="5" t="s">
        <v>572</v>
      </c>
      <c r="F2066" s="9">
        <v>14</v>
      </c>
      <c r="G2066" s="9">
        <v>163</v>
      </c>
      <c r="H2066" s="5" t="s">
        <v>20</v>
      </c>
      <c r="I2066" s="5" t="s">
        <v>5015</v>
      </c>
      <c r="J2066" s="12" t="str">
        <f>HYPERLINK("https://www.boe.es/gazeta/dias/1807/02/10/pdfs/GMD-1807-14.pdf#page=11","Abrir facsímil")</f>
        <v>Abrir facsímil</v>
      </c>
      <c r="K2066" s="15" t="s">
        <v>22</v>
      </c>
    </row>
    <row r="2067" spans="1:11" ht="42" customHeight="1">
      <c r="A2067" s="4" t="s">
        <v>5016</v>
      </c>
      <c r="B2067" s="5" t="s">
        <v>5017</v>
      </c>
      <c r="C2067" s="5" t="s">
        <v>2383</v>
      </c>
      <c r="D2067" s="5" t="s">
        <v>2384</v>
      </c>
      <c r="E2067" s="5" t="s">
        <v>215</v>
      </c>
      <c r="F2067" s="9">
        <v>5</v>
      </c>
      <c r="G2067" s="9">
        <v>57</v>
      </c>
      <c r="H2067" s="5" t="s">
        <v>20</v>
      </c>
      <c r="I2067" s="5" t="s">
        <v>5018</v>
      </c>
      <c r="J2067" s="12" t="str">
        <f>HYPERLINK("https://www.boe.es/gazeta/dias/1807/01/16/pdfs/GMD-C-1807-5.pdf#page=1","Abrir facsímil")</f>
        <v>Abrir facsímil</v>
      </c>
      <c r="K2067" s="15" t="s">
        <v>22</v>
      </c>
    </row>
    <row r="2068" spans="1:11" ht="42" customHeight="1">
      <c r="A2068" s="4" t="s">
        <v>5019</v>
      </c>
      <c r="B2068" s="5" t="s">
        <v>5020</v>
      </c>
      <c r="C2068" s="5" t="s">
        <v>34</v>
      </c>
      <c r="D2068" s="5" t="s">
        <v>35</v>
      </c>
      <c r="E2068" s="5" t="s">
        <v>441</v>
      </c>
      <c r="F2068" s="9">
        <v>92</v>
      </c>
      <c r="G2068" s="9">
        <v>1068</v>
      </c>
      <c r="H2068" s="5" t="s">
        <v>20</v>
      </c>
      <c r="I2068" s="5" t="s">
        <v>5021</v>
      </c>
      <c r="J2068" s="12" t="str">
        <f>HYPERLINK("https://www.boe.es/gazeta/dias/1807/10/13/pdfs/GMD-1807-92.pdf#page=8","Abrir facsímil")</f>
        <v>Abrir facsímil</v>
      </c>
      <c r="K2068" s="15" t="s">
        <v>22</v>
      </c>
    </row>
    <row r="2069" spans="1:11" ht="42" customHeight="1">
      <c r="A2069" s="4" t="s">
        <v>5022</v>
      </c>
      <c r="B2069" s="5" t="s">
        <v>5023</v>
      </c>
      <c r="C2069" s="5" t="s">
        <v>28</v>
      </c>
      <c r="D2069" s="5" t="s">
        <v>29</v>
      </c>
      <c r="E2069" s="5" t="s">
        <v>346</v>
      </c>
      <c r="F2069" s="9">
        <v>21</v>
      </c>
      <c r="G2069" s="9">
        <v>245</v>
      </c>
      <c r="H2069" s="5" t="s">
        <v>20</v>
      </c>
      <c r="I2069" s="5" t="s">
        <v>5024</v>
      </c>
      <c r="J2069" s="12" t="str">
        <f>HYPERLINK("https://www.boe.es/gazeta/dias/1807/03/03/pdfs/GMD-1807-21.pdf#page=9","Abrir facsímil")</f>
        <v>Abrir facsímil</v>
      </c>
      <c r="K2069" s="15" t="s">
        <v>22</v>
      </c>
    </row>
    <row r="2070" spans="1:11" ht="42" customHeight="1">
      <c r="A2070" s="4" t="s">
        <v>5025</v>
      </c>
      <c r="B2070" s="5" t="s">
        <v>5026</v>
      </c>
      <c r="C2070" s="5" t="s">
        <v>34</v>
      </c>
      <c r="D2070" s="5" t="s">
        <v>35</v>
      </c>
      <c r="E2070" s="5" t="s">
        <v>65</v>
      </c>
      <c r="F2070" s="9">
        <v>52</v>
      </c>
      <c r="G2070" s="9">
        <v>622</v>
      </c>
      <c r="H2070" s="5" t="s">
        <v>20</v>
      </c>
      <c r="I2070" s="5" t="s">
        <v>5027</v>
      </c>
      <c r="J2070" s="12" t="str">
        <f>HYPERLINK("https://www.boe.es/gazeta/dias/1807/06/19/pdfs/GMD-1807-52.pdf#page=12","Abrir facsímil")</f>
        <v>Abrir facsímil</v>
      </c>
      <c r="K2070" s="15" t="s">
        <v>22</v>
      </c>
    </row>
    <row r="2071" spans="1:11" ht="42" customHeight="1">
      <c r="A2071" s="4" t="s">
        <v>5028</v>
      </c>
      <c r="B2071" s="5" t="s">
        <v>5029</v>
      </c>
      <c r="C2071" s="5" t="s">
        <v>24</v>
      </c>
      <c r="D2071" s="5" t="s">
        <v>18</v>
      </c>
      <c r="E2071" s="5" t="s">
        <v>1076</v>
      </c>
      <c r="F2071" s="9">
        <v>96</v>
      </c>
      <c r="G2071" s="9">
        <v>1119</v>
      </c>
      <c r="H2071" s="5" t="s">
        <v>20</v>
      </c>
      <c r="I2071" s="5" t="s">
        <v>5030</v>
      </c>
      <c r="J2071" s="12" t="str">
        <f>HYPERLINK("https://www.boe.es/gazeta/dias/1807/10/27/pdfs/GMD-1807-96.pdf#page=11","Abrir facsímil")</f>
        <v>Abrir facsímil</v>
      </c>
      <c r="K2071" s="15" t="s">
        <v>22</v>
      </c>
    </row>
    <row r="2072" spans="1:11" ht="42" customHeight="1">
      <c r="A2072" s="4" t="s">
        <v>5031</v>
      </c>
      <c r="B2072" s="5" t="s">
        <v>5032</v>
      </c>
      <c r="C2072" s="5" t="s">
        <v>34</v>
      </c>
      <c r="D2072" s="5" t="s">
        <v>35</v>
      </c>
      <c r="E2072" s="5" t="s">
        <v>654</v>
      </c>
      <c r="F2072" s="9">
        <v>94</v>
      </c>
      <c r="G2072" s="9">
        <v>1092</v>
      </c>
      <c r="H2072" s="5" t="s">
        <v>20</v>
      </c>
      <c r="I2072" s="5" t="s">
        <v>5033</v>
      </c>
      <c r="J2072" s="12" t="str">
        <f>HYPERLINK("https://www.boe.es/gazeta/dias/1807/10/20/pdfs/GMD-1807-94.pdf#page=8","Abrir facsímil")</f>
        <v>Abrir facsímil</v>
      </c>
      <c r="K2072" s="15" t="s">
        <v>22</v>
      </c>
    </row>
    <row r="2073" spans="1:11" ht="42" customHeight="1">
      <c r="A2073" s="4" t="s">
        <v>5034</v>
      </c>
      <c r="B2073" s="5" t="s">
        <v>5035</v>
      </c>
      <c r="C2073" s="5" t="s">
        <v>89</v>
      </c>
      <c r="D2073" s="5" t="s">
        <v>90</v>
      </c>
      <c r="E2073" s="5" t="s">
        <v>793</v>
      </c>
      <c r="F2073" s="9">
        <v>87</v>
      </c>
      <c r="G2073" s="9">
        <v>1011</v>
      </c>
      <c r="H2073" s="5" t="s">
        <v>20</v>
      </c>
      <c r="I2073" s="5" t="s">
        <v>5036</v>
      </c>
      <c r="J2073" s="12" t="str">
        <f>HYPERLINK("https://www.boe.es/gazeta/dias/1807/09/29/pdfs/GMD-1807-87.pdf#page=11","Abrir facsímil")</f>
        <v>Abrir facsímil</v>
      </c>
      <c r="K2073" s="15" t="s">
        <v>22</v>
      </c>
    </row>
    <row r="2074" spans="1:11" ht="42" customHeight="1">
      <c r="A2074" s="4" t="s">
        <v>5037</v>
      </c>
      <c r="B2074" s="5" t="s">
        <v>5038</v>
      </c>
      <c r="C2074" s="5" t="s">
        <v>28</v>
      </c>
      <c r="D2074" s="5" t="s">
        <v>29</v>
      </c>
      <c r="E2074" s="5" t="s">
        <v>53</v>
      </c>
      <c r="F2074" s="9">
        <v>64</v>
      </c>
      <c r="G2074" s="9">
        <v>748</v>
      </c>
      <c r="H2074" s="5" t="s">
        <v>20</v>
      </c>
      <c r="I2074" s="5" t="s">
        <v>5039</v>
      </c>
      <c r="J2074" s="12" t="str">
        <f>HYPERLINK("https://www.boe.es/gazeta/dias/1807/07/21/pdfs/GMD-1807-64.pdf#page=10","Abrir facsímil")</f>
        <v>Abrir facsímil</v>
      </c>
      <c r="K2074" s="15" t="s">
        <v>22</v>
      </c>
    </row>
    <row r="2075" spans="1:11" ht="42" customHeight="1">
      <c r="A2075" s="4" t="s">
        <v>5040</v>
      </c>
      <c r="B2075" s="5" t="s">
        <v>5041</v>
      </c>
      <c r="C2075" s="5" t="s">
        <v>34</v>
      </c>
      <c r="D2075" s="5" t="s">
        <v>35</v>
      </c>
      <c r="E2075" s="5" t="s">
        <v>245</v>
      </c>
      <c r="F2075" s="9">
        <v>97</v>
      </c>
      <c r="G2075" s="9">
        <v>1128</v>
      </c>
      <c r="H2075" s="5" t="s">
        <v>20</v>
      </c>
      <c r="I2075" s="5" t="s">
        <v>5042</v>
      </c>
      <c r="J2075" s="12" t="str">
        <f>HYPERLINK("https://www.boe.es/gazeta/dias/1807/10/30/pdfs/GMD-1807-97.pdf#page=8","Abrir facsímil")</f>
        <v>Abrir facsímil</v>
      </c>
      <c r="K2075" s="15" t="s">
        <v>22</v>
      </c>
    </row>
    <row r="2076" spans="1:11" ht="42" customHeight="1">
      <c r="A2076" s="4" t="s">
        <v>5043</v>
      </c>
      <c r="B2076" s="5" t="s">
        <v>5044</v>
      </c>
      <c r="C2076" s="5" t="s">
        <v>34</v>
      </c>
      <c r="D2076" s="5" t="s">
        <v>35</v>
      </c>
      <c r="E2076" s="5" t="s">
        <v>654</v>
      </c>
      <c r="F2076" s="9">
        <v>94</v>
      </c>
      <c r="G2076" s="9">
        <v>1094</v>
      </c>
      <c r="H2076" s="5" t="s">
        <v>20</v>
      </c>
      <c r="I2076" s="5" t="s">
        <v>5045</v>
      </c>
      <c r="J2076" s="12" t="str">
        <f>HYPERLINK("https://www.boe.es/gazeta/dias/1807/10/20/pdfs/GMD-1807-94.pdf#page=10","Abrir facsímil")</f>
        <v>Abrir facsímil</v>
      </c>
      <c r="K2076" s="15" t="s">
        <v>22</v>
      </c>
    </row>
    <row r="2077" spans="1:11" ht="42" customHeight="1">
      <c r="A2077" s="4" t="s">
        <v>5046</v>
      </c>
      <c r="B2077" s="5" t="s">
        <v>5047</v>
      </c>
      <c r="C2077" s="5" t="s">
        <v>24</v>
      </c>
      <c r="D2077" s="5" t="s">
        <v>18</v>
      </c>
      <c r="E2077" s="5" t="s">
        <v>149</v>
      </c>
      <c r="F2077" s="9">
        <v>38</v>
      </c>
      <c r="G2077" s="9">
        <v>454</v>
      </c>
      <c r="H2077" s="5" t="s">
        <v>20</v>
      </c>
      <c r="I2077" s="5" t="s">
        <v>5048</v>
      </c>
      <c r="J2077" s="12" t="str">
        <f>HYPERLINK("https://www.boe.es/gazeta/dias/1807/05/01/pdfs/GMD-1807-38.pdf#page=10","Abrir facsímil")</f>
        <v>Abrir facsímil</v>
      </c>
      <c r="K2077" s="15" t="s">
        <v>22</v>
      </c>
    </row>
    <row r="2078" spans="1:11" ht="42" customHeight="1">
      <c r="A2078" s="4" t="s">
        <v>5049</v>
      </c>
      <c r="B2078" s="5" t="s">
        <v>5050</v>
      </c>
      <c r="C2078" s="5" t="s">
        <v>34</v>
      </c>
      <c r="D2078" s="5" t="s">
        <v>35</v>
      </c>
      <c r="E2078" s="5" t="s">
        <v>123</v>
      </c>
      <c r="F2078" s="9">
        <v>70</v>
      </c>
      <c r="G2078" s="9">
        <v>806</v>
      </c>
      <c r="H2078" s="5" t="s">
        <v>20</v>
      </c>
      <c r="I2078" s="5" t="s">
        <v>5051</v>
      </c>
      <c r="J2078" s="12" t="str">
        <f>HYPERLINK("https://www.boe.es/gazeta/dias/1807/08/04/pdfs/GMD-1807-70.pdf#page=10","Abrir facsímil")</f>
        <v>Abrir facsímil</v>
      </c>
      <c r="K2078" s="15" t="s">
        <v>22</v>
      </c>
    </row>
    <row r="2079" spans="1:11" ht="42" customHeight="1">
      <c r="A2079" s="4" t="s">
        <v>5052</v>
      </c>
      <c r="B2079" s="5" t="s">
        <v>5053</v>
      </c>
      <c r="C2079" s="5" t="s">
        <v>34</v>
      </c>
      <c r="D2079" s="5" t="s">
        <v>35</v>
      </c>
      <c r="E2079" s="5" t="s">
        <v>94</v>
      </c>
      <c r="F2079" s="9">
        <v>22</v>
      </c>
      <c r="G2079" s="9">
        <v>254</v>
      </c>
      <c r="H2079" s="5" t="s">
        <v>20</v>
      </c>
      <c r="I2079" s="5" t="s">
        <v>5054</v>
      </c>
      <c r="J2079" s="12" t="str">
        <f>HYPERLINK("https://www.boe.es/gazeta/dias/1807/03/06/pdfs/GMD-1807-22.pdf#page=6","Abrir facsímil")</f>
        <v>Abrir facsímil</v>
      </c>
      <c r="K2079" s="15" t="s">
        <v>22</v>
      </c>
    </row>
    <row r="2080" spans="1:11" ht="42" customHeight="1">
      <c r="A2080" s="4" t="s">
        <v>5055</v>
      </c>
      <c r="B2080" s="5" t="s">
        <v>5056</v>
      </c>
      <c r="C2080" s="5" t="s">
        <v>24</v>
      </c>
      <c r="D2080" s="5" t="s">
        <v>18</v>
      </c>
      <c r="E2080" s="5" t="s">
        <v>215</v>
      </c>
      <c r="F2080" s="9">
        <v>5</v>
      </c>
      <c r="G2080" s="9">
        <v>55</v>
      </c>
      <c r="H2080" s="5" t="s">
        <v>20</v>
      </c>
      <c r="I2080" s="5" t="s">
        <v>5057</v>
      </c>
      <c r="J2080" s="12" t="str">
        <f>HYPERLINK("https://www.boe.es/gazeta/dias/1807/01/16/pdfs/GMD-1807-5.pdf#page=11","Abrir facsímil")</f>
        <v>Abrir facsímil</v>
      </c>
      <c r="K2080" s="15" t="s">
        <v>22</v>
      </c>
    </row>
    <row r="2081" spans="1:11" ht="42" customHeight="1">
      <c r="A2081" s="4" t="s">
        <v>5058</v>
      </c>
      <c r="B2081" s="5" t="s">
        <v>5059</v>
      </c>
      <c r="C2081" s="5" t="s">
        <v>24</v>
      </c>
      <c r="D2081" s="5" t="s">
        <v>18</v>
      </c>
      <c r="E2081" s="5" t="s">
        <v>98</v>
      </c>
      <c r="F2081" s="9">
        <v>34</v>
      </c>
      <c r="G2081" s="9">
        <v>408</v>
      </c>
      <c r="H2081" s="5" t="s">
        <v>20</v>
      </c>
      <c r="I2081" s="5" t="s">
        <v>5060</v>
      </c>
      <c r="J2081" s="12" t="str">
        <f>HYPERLINK("https://www.boe.es/gazeta/dias/1807/04/17/pdfs/GMD-1807-34.pdf#page=12","Abrir facsímil")</f>
        <v>Abrir facsímil</v>
      </c>
      <c r="K2081" s="15" t="s">
        <v>22</v>
      </c>
    </row>
    <row r="2082" spans="1:11" ht="42" customHeight="1">
      <c r="A2082" s="4" t="s">
        <v>5061</v>
      </c>
      <c r="B2082" s="5" t="s">
        <v>5062</v>
      </c>
      <c r="C2082" s="5" t="s">
        <v>34</v>
      </c>
      <c r="D2082" s="5" t="s">
        <v>35</v>
      </c>
      <c r="E2082" s="5" t="s">
        <v>215</v>
      </c>
      <c r="F2082" s="9">
        <v>5</v>
      </c>
      <c r="G2082" s="9">
        <v>51</v>
      </c>
      <c r="H2082" s="5" t="s">
        <v>20</v>
      </c>
      <c r="I2082" s="5" t="s">
        <v>5063</v>
      </c>
      <c r="J2082" s="12" t="str">
        <f>HYPERLINK("https://www.boe.es/gazeta/dias/1807/01/16/pdfs/GMD-1807-5.pdf#page=7","Abrir facsímil")</f>
        <v>Abrir facsímil</v>
      </c>
      <c r="K2082" s="15" t="s">
        <v>22</v>
      </c>
    </row>
    <row r="2083" spans="1:11" ht="42" customHeight="1">
      <c r="A2083" s="4" t="s">
        <v>5061</v>
      </c>
      <c r="B2083" s="5" t="s">
        <v>5062</v>
      </c>
      <c r="C2083" s="5" t="s">
        <v>28</v>
      </c>
      <c r="D2083" s="5" t="s">
        <v>29</v>
      </c>
      <c r="E2083" s="5" t="s">
        <v>346</v>
      </c>
      <c r="F2083" s="9">
        <v>21</v>
      </c>
      <c r="G2083" s="9">
        <v>244</v>
      </c>
      <c r="H2083" s="5" t="s">
        <v>20</v>
      </c>
      <c r="I2083" s="5" t="s">
        <v>5064</v>
      </c>
      <c r="J2083" s="12" t="str">
        <f>HYPERLINK("https://www.boe.es/gazeta/dias/1807/03/03/pdfs/GMD-1807-21.pdf#page=8","Abrir facsímil")</f>
        <v>Abrir facsímil</v>
      </c>
      <c r="K2083" s="15" t="s">
        <v>22</v>
      </c>
    </row>
    <row r="2084" spans="1:11" ht="42" customHeight="1">
      <c r="A2084" s="4" t="s">
        <v>5065</v>
      </c>
      <c r="B2084" s="5" t="s">
        <v>5066</v>
      </c>
      <c r="C2084" s="5" t="s">
        <v>34</v>
      </c>
      <c r="D2084" s="5" t="s">
        <v>35</v>
      </c>
      <c r="E2084" s="5" t="s">
        <v>53</v>
      </c>
      <c r="F2084" s="9">
        <v>64</v>
      </c>
      <c r="G2084" s="9">
        <v>746</v>
      </c>
      <c r="H2084" s="5" t="s">
        <v>20</v>
      </c>
      <c r="I2084" s="5" t="s">
        <v>5067</v>
      </c>
      <c r="J2084" s="12" t="str">
        <f>HYPERLINK("https://www.boe.es/gazeta/dias/1807/07/21/pdfs/GMD-1807-64.pdf#page=8","Abrir facsímil")</f>
        <v>Abrir facsímil</v>
      </c>
      <c r="K2084" s="15" t="s">
        <v>22</v>
      </c>
    </row>
    <row r="2085" spans="1:11" ht="42" customHeight="1">
      <c r="A2085" s="4" t="s">
        <v>5068</v>
      </c>
      <c r="B2085" s="5" t="s">
        <v>5069</v>
      </c>
      <c r="C2085" s="5" t="s">
        <v>17</v>
      </c>
      <c r="D2085" s="5" t="s">
        <v>18</v>
      </c>
      <c r="E2085" s="5" t="s">
        <v>620</v>
      </c>
      <c r="F2085" s="9">
        <v>84</v>
      </c>
      <c r="G2085" s="9">
        <v>981</v>
      </c>
      <c r="H2085" s="5" t="s">
        <v>20</v>
      </c>
      <c r="I2085" s="5" t="s">
        <v>5070</v>
      </c>
      <c r="J2085" s="12" t="str">
        <f>HYPERLINK("https://www.boe.es/gazeta/dias/1807/09/22/pdfs/GMD-1807-84.pdf#page=9","Abrir facsímil")</f>
        <v>Abrir facsímil</v>
      </c>
      <c r="K2085" s="15" t="s">
        <v>22</v>
      </c>
    </row>
    <row r="2086" spans="1:11" ht="42" customHeight="1">
      <c r="A2086" s="4" t="s">
        <v>5071</v>
      </c>
      <c r="B2086" s="5" t="s">
        <v>5072</v>
      </c>
      <c r="C2086" s="5" t="s">
        <v>89</v>
      </c>
      <c r="D2086" s="5" t="s">
        <v>90</v>
      </c>
      <c r="E2086" s="5" t="s">
        <v>46</v>
      </c>
      <c r="F2086" s="9">
        <v>78</v>
      </c>
      <c r="G2086" s="9">
        <v>906</v>
      </c>
      <c r="H2086" s="5" t="s">
        <v>20</v>
      </c>
      <c r="I2086" s="5" t="s">
        <v>5073</v>
      </c>
      <c r="J2086" s="12" t="str">
        <f>HYPERLINK("https://www.boe.es/gazeta/dias/1807/09/01/pdfs/GMD-1807-78.pdf#page=10","Abrir facsímil")</f>
        <v>Abrir facsímil</v>
      </c>
      <c r="K2086" s="15" t="s">
        <v>22</v>
      </c>
    </row>
    <row r="2087" spans="1:11" ht="42" customHeight="1">
      <c r="A2087" s="4" t="s">
        <v>5071</v>
      </c>
      <c r="B2087" s="5" t="s">
        <v>5072</v>
      </c>
      <c r="C2087" s="5" t="s">
        <v>34</v>
      </c>
      <c r="D2087" s="5" t="s">
        <v>35</v>
      </c>
      <c r="E2087" s="5" t="s">
        <v>135</v>
      </c>
      <c r="F2087" s="9">
        <v>80</v>
      </c>
      <c r="G2087" s="9">
        <v>936</v>
      </c>
      <c r="H2087" s="5" t="s">
        <v>20</v>
      </c>
      <c r="I2087" s="5" t="s">
        <v>5074</v>
      </c>
      <c r="J2087" s="12" t="str">
        <f>HYPERLINK("https://www.boe.es/gazeta/dias/1807/09/08/pdfs/GMD-1807-80.pdf#page=12","Abrir facsímil")</f>
        <v>Abrir facsímil</v>
      </c>
      <c r="K2087" s="15" t="s">
        <v>22</v>
      </c>
    </row>
    <row r="2088" spans="1:11" ht="42" customHeight="1">
      <c r="A2088" s="4" t="s">
        <v>5071</v>
      </c>
      <c r="B2088" s="5" t="s">
        <v>5072</v>
      </c>
      <c r="C2088" s="5" t="s">
        <v>24</v>
      </c>
      <c r="D2088" s="5" t="s">
        <v>18</v>
      </c>
      <c r="E2088" s="5" t="s">
        <v>111</v>
      </c>
      <c r="F2088" s="9">
        <v>90</v>
      </c>
      <c r="G2088" s="9">
        <v>1047</v>
      </c>
      <c r="H2088" s="5" t="s">
        <v>20</v>
      </c>
      <c r="I2088" s="5" t="s">
        <v>5075</v>
      </c>
      <c r="J2088" s="12" t="str">
        <f>HYPERLINK("https://www.boe.es/gazeta/dias/1807/10/06/pdfs/GMD-1807-90.pdf#page=15","Abrir facsímil")</f>
        <v>Abrir facsímil</v>
      </c>
      <c r="K2088" s="15" t="s">
        <v>22</v>
      </c>
    </row>
    <row r="2089" spans="1:11" ht="42" customHeight="1">
      <c r="A2089" s="4" t="s">
        <v>5076</v>
      </c>
      <c r="B2089" s="5" t="s">
        <v>5077</v>
      </c>
      <c r="C2089" s="5" t="s">
        <v>28</v>
      </c>
      <c r="D2089" s="5" t="s">
        <v>29</v>
      </c>
      <c r="E2089" s="5" t="s">
        <v>167</v>
      </c>
      <c r="F2089" s="9">
        <v>77</v>
      </c>
      <c r="G2089" s="9">
        <v>895</v>
      </c>
      <c r="H2089" s="5" t="s">
        <v>20</v>
      </c>
      <c r="I2089" s="5" t="s">
        <v>5078</v>
      </c>
      <c r="J2089" s="12" t="str">
        <f>HYPERLINK("https://www.boe.es/gazeta/dias/1807/08/28/pdfs/GMD-1807-77.pdf#page=11","Abrir facsímil")</f>
        <v>Abrir facsímil</v>
      </c>
      <c r="K2089" s="15" t="s">
        <v>22</v>
      </c>
    </row>
    <row r="2090" spans="1:11" ht="42" customHeight="1">
      <c r="A2090" s="4" t="s">
        <v>5079</v>
      </c>
      <c r="B2090" s="5" t="s">
        <v>5080</v>
      </c>
      <c r="C2090" s="5" t="s">
        <v>24</v>
      </c>
      <c r="D2090" s="5" t="s">
        <v>18</v>
      </c>
      <c r="E2090" s="5" t="s">
        <v>111</v>
      </c>
      <c r="F2090" s="9">
        <v>90</v>
      </c>
      <c r="G2090" s="9">
        <v>1047</v>
      </c>
      <c r="H2090" s="5" t="s">
        <v>20</v>
      </c>
      <c r="I2090" s="5" t="s">
        <v>5081</v>
      </c>
      <c r="J2090" s="12" t="str">
        <f>HYPERLINK("https://www.boe.es/gazeta/dias/1807/10/06/pdfs/GMD-1807-90.pdf#page=15","Abrir facsímil")</f>
        <v>Abrir facsímil</v>
      </c>
      <c r="K2090" s="15" t="s">
        <v>22</v>
      </c>
    </row>
    <row r="2091" spans="1:11" ht="42" customHeight="1">
      <c r="A2091" s="4" t="s">
        <v>5079</v>
      </c>
      <c r="B2091" s="5" t="s">
        <v>5080</v>
      </c>
      <c r="C2091" s="5" t="s">
        <v>24</v>
      </c>
      <c r="D2091" s="5" t="s">
        <v>18</v>
      </c>
      <c r="E2091" s="5" t="s">
        <v>139</v>
      </c>
      <c r="F2091" s="9">
        <v>110</v>
      </c>
      <c r="G2091" s="9">
        <v>1286</v>
      </c>
      <c r="H2091" s="5" t="s">
        <v>20</v>
      </c>
      <c r="I2091" s="5" t="s">
        <v>5082</v>
      </c>
      <c r="J2091" s="12" t="str">
        <f>HYPERLINK("https://www.boe.es/gazeta/dias/1807/12/11/pdfs/GMD-1807-110.pdf#page=10","Abrir facsímil")</f>
        <v>Abrir facsímil</v>
      </c>
      <c r="K2091" s="15" t="s">
        <v>22</v>
      </c>
    </row>
    <row r="2092" spans="1:11" ht="42" customHeight="1">
      <c r="A2092" s="4" t="s">
        <v>5083</v>
      </c>
      <c r="B2092" s="5" t="s">
        <v>5084</v>
      </c>
      <c r="C2092" s="5" t="s">
        <v>28</v>
      </c>
      <c r="D2092" s="5" t="s">
        <v>29</v>
      </c>
      <c r="E2092" s="5" t="s">
        <v>183</v>
      </c>
      <c r="F2092" s="9">
        <v>1</v>
      </c>
      <c r="G2092" s="9">
        <v>11</v>
      </c>
      <c r="H2092" s="5" t="s">
        <v>20</v>
      </c>
      <c r="I2092" s="5" t="s">
        <v>5085</v>
      </c>
      <c r="J2092" s="12" t="str">
        <f>HYPERLINK("https://www.boe.es/gazeta/dias/1807/01/02/pdfs/GMD-1807-1.pdf#page=11","Abrir facsímil")</f>
        <v>Abrir facsímil</v>
      </c>
      <c r="K2092" s="15" t="s">
        <v>22</v>
      </c>
    </row>
    <row r="2093" spans="1:11" ht="42" customHeight="1">
      <c r="A2093" s="4" t="s">
        <v>5083</v>
      </c>
      <c r="B2093" s="5" t="s">
        <v>5084</v>
      </c>
      <c r="C2093" s="5" t="s">
        <v>24</v>
      </c>
      <c r="D2093" s="5" t="s">
        <v>18</v>
      </c>
      <c r="E2093" s="5" t="s">
        <v>156</v>
      </c>
      <c r="F2093" s="9">
        <v>74</v>
      </c>
      <c r="G2093" s="9">
        <v>860</v>
      </c>
      <c r="H2093" s="5" t="s">
        <v>20</v>
      </c>
      <c r="I2093" s="5" t="s">
        <v>5086</v>
      </c>
      <c r="J2093" s="12" t="str">
        <f>HYPERLINK("https://www.boe.es/gazeta/dias/1807/08/18/pdfs/GMD-1807-74.pdf#page=12","Abrir facsímil")</f>
        <v>Abrir facsímil</v>
      </c>
      <c r="K2093" s="15" t="s">
        <v>22</v>
      </c>
    </row>
    <row r="2094" spans="1:11" ht="42" customHeight="1">
      <c r="A2094" s="4" t="s">
        <v>5087</v>
      </c>
      <c r="B2094" s="5" t="s">
        <v>5088</v>
      </c>
      <c r="C2094" s="5" t="s">
        <v>28</v>
      </c>
      <c r="D2094" s="5" t="s">
        <v>29</v>
      </c>
      <c r="E2094" s="5" t="s">
        <v>51</v>
      </c>
      <c r="F2094" s="9">
        <v>62</v>
      </c>
      <c r="G2094" s="9">
        <v>733</v>
      </c>
      <c r="H2094" s="5" t="s">
        <v>20</v>
      </c>
      <c r="I2094" s="5" t="s">
        <v>5089</v>
      </c>
      <c r="J2094" s="12" t="str">
        <f>HYPERLINK("https://www.boe.es/gazeta/dias/1807/07/17/pdfs/GMD-1807-62.pdf#page=7","Abrir facsímil")</f>
        <v>Abrir facsímil</v>
      </c>
      <c r="K2094" s="15" t="s">
        <v>22</v>
      </c>
    </row>
    <row r="2095" spans="1:11" ht="42" customHeight="1">
      <c r="A2095" s="4" t="s">
        <v>5090</v>
      </c>
      <c r="B2095" s="5" t="s">
        <v>5091</v>
      </c>
      <c r="C2095" s="5" t="s">
        <v>89</v>
      </c>
      <c r="D2095" s="5" t="s">
        <v>90</v>
      </c>
      <c r="E2095" s="5" t="s">
        <v>219</v>
      </c>
      <c r="F2095" s="9">
        <v>56</v>
      </c>
      <c r="G2095" s="9">
        <v>673</v>
      </c>
      <c r="H2095" s="5" t="s">
        <v>20</v>
      </c>
      <c r="I2095" s="5" t="s">
        <v>5092</v>
      </c>
      <c r="J2095" s="12" t="str">
        <f>HYPERLINK("https://www.boe.es/gazeta/dias/1807/07/03/pdfs/GMD-1807-56.pdf#page=11","Abrir facsímil")</f>
        <v>Abrir facsímil</v>
      </c>
      <c r="K2095" s="15" t="s">
        <v>22</v>
      </c>
    </row>
    <row r="2096" spans="1:11" ht="42" customHeight="1">
      <c r="A2096" s="4" t="s">
        <v>5093</v>
      </c>
      <c r="B2096" s="5" t="s">
        <v>5094</v>
      </c>
      <c r="C2096" s="5" t="s">
        <v>34</v>
      </c>
      <c r="D2096" s="5" t="s">
        <v>35</v>
      </c>
      <c r="E2096" s="5" t="s">
        <v>183</v>
      </c>
      <c r="F2096" s="9">
        <v>1</v>
      </c>
      <c r="G2096" s="9">
        <v>10</v>
      </c>
      <c r="H2096" s="5" t="s">
        <v>20</v>
      </c>
      <c r="I2096" s="5" t="s">
        <v>5095</v>
      </c>
      <c r="J2096" s="12" t="str">
        <f>HYPERLINK("https://www.boe.es/gazeta/dias/1807/01/02/pdfs/GMD-1807-1.pdf#page=10","Abrir facsímil")</f>
        <v>Abrir facsímil</v>
      </c>
      <c r="K2096" s="15" t="s">
        <v>22</v>
      </c>
    </row>
    <row r="2097" spans="1:11" ht="42" customHeight="1">
      <c r="A2097" s="4" t="s">
        <v>5096</v>
      </c>
      <c r="B2097" s="5" t="s">
        <v>5097</v>
      </c>
      <c r="C2097" s="5" t="s">
        <v>34</v>
      </c>
      <c r="D2097" s="5" t="s">
        <v>35</v>
      </c>
      <c r="E2097" s="5" t="s">
        <v>241</v>
      </c>
      <c r="F2097" s="9">
        <v>76</v>
      </c>
      <c r="G2097" s="9">
        <v>879</v>
      </c>
      <c r="H2097" s="5" t="s">
        <v>20</v>
      </c>
      <c r="I2097" s="5" t="s">
        <v>5098</v>
      </c>
      <c r="J2097" s="12" t="str">
        <f>HYPERLINK("https://www.boe.es/gazeta/dias/1807/08/25/pdfs/GMD-1807-76.pdf#page=7","Abrir facsímil")</f>
        <v>Abrir facsímil</v>
      </c>
      <c r="K2097" s="15" t="s">
        <v>22</v>
      </c>
    </row>
    <row r="2098" spans="1:11" ht="42" customHeight="1">
      <c r="A2098" s="4" t="s">
        <v>5099</v>
      </c>
      <c r="B2098" s="5" t="s">
        <v>5100</v>
      </c>
      <c r="C2098" s="5" t="s">
        <v>28</v>
      </c>
      <c r="D2098" s="5" t="s">
        <v>29</v>
      </c>
      <c r="E2098" s="5" t="s">
        <v>754</v>
      </c>
      <c r="F2098" s="9">
        <v>103</v>
      </c>
      <c r="G2098" s="9">
        <v>1202</v>
      </c>
      <c r="H2098" s="5" t="s">
        <v>20</v>
      </c>
      <c r="I2098" s="5" t="s">
        <v>5101</v>
      </c>
      <c r="J2098" s="12" t="str">
        <f>HYPERLINK("https://www.boe.es/gazeta/dias/1807/11/20/pdfs/GMD-1807-103.pdf#page=10","Abrir facsímil")</f>
        <v>Abrir facsímil</v>
      </c>
      <c r="K2098" s="15" t="s">
        <v>22</v>
      </c>
    </row>
    <row r="2099" spans="1:11" ht="42" customHeight="1">
      <c r="A2099" s="4" t="s">
        <v>5102</v>
      </c>
      <c r="B2099" s="5" t="s">
        <v>5103</v>
      </c>
      <c r="C2099" s="5" t="s">
        <v>28</v>
      </c>
      <c r="D2099" s="5" t="s">
        <v>29</v>
      </c>
      <c r="E2099" s="5" t="s">
        <v>390</v>
      </c>
      <c r="F2099" s="9">
        <v>24</v>
      </c>
      <c r="G2099" s="9">
        <v>285</v>
      </c>
      <c r="H2099" s="5" t="s">
        <v>20</v>
      </c>
      <c r="I2099" s="5" t="s">
        <v>5104</v>
      </c>
      <c r="J2099" s="12" t="str">
        <f>HYPERLINK("https://www.boe.es/gazeta/dias/1807/03/13/pdfs/GMD-1807-24.pdf#page=9","Abrir facsímil")</f>
        <v>Abrir facsímil</v>
      </c>
      <c r="K2099" s="15" t="s">
        <v>22</v>
      </c>
    </row>
    <row r="2100" spans="1:11" ht="42" customHeight="1">
      <c r="A2100" s="4" t="s">
        <v>5105</v>
      </c>
      <c r="B2100" s="5" t="s">
        <v>5106</v>
      </c>
      <c r="C2100" s="5" t="s">
        <v>34</v>
      </c>
      <c r="D2100" s="5" t="s">
        <v>35</v>
      </c>
      <c r="E2100" s="5" t="s">
        <v>65</v>
      </c>
      <c r="F2100" s="9">
        <v>52</v>
      </c>
      <c r="G2100" s="9">
        <v>622</v>
      </c>
      <c r="H2100" s="5" t="s">
        <v>20</v>
      </c>
      <c r="I2100" s="5" t="s">
        <v>5107</v>
      </c>
      <c r="J2100" s="12" t="str">
        <f>HYPERLINK("https://www.boe.es/gazeta/dias/1807/06/19/pdfs/GMD-1807-52.pdf#page=12","Abrir facsímil")</f>
        <v>Abrir facsímil</v>
      </c>
      <c r="K2100" s="15" t="s">
        <v>22</v>
      </c>
    </row>
    <row r="2101" spans="1:11" ht="42" customHeight="1">
      <c r="A2101" s="4" t="s">
        <v>5108</v>
      </c>
      <c r="B2101" s="5" t="s">
        <v>5109</v>
      </c>
      <c r="C2101" s="5" t="s">
        <v>34</v>
      </c>
      <c r="D2101" s="5" t="s">
        <v>35</v>
      </c>
      <c r="E2101" s="5" t="s">
        <v>46</v>
      </c>
      <c r="F2101" s="9">
        <v>78</v>
      </c>
      <c r="G2101" s="9">
        <v>905</v>
      </c>
      <c r="H2101" s="5" t="s">
        <v>20</v>
      </c>
      <c r="I2101" s="5" t="s">
        <v>5110</v>
      </c>
      <c r="J2101" s="12" t="str">
        <f>HYPERLINK("https://www.boe.es/gazeta/dias/1807/09/01/pdfs/GMD-1807-78.pdf#page=9","Abrir facsímil")</f>
        <v>Abrir facsímil</v>
      </c>
      <c r="K2101" s="15" t="s">
        <v>22</v>
      </c>
    </row>
    <row r="2102" spans="1:11" ht="42" customHeight="1">
      <c r="A2102" s="4" t="s">
        <v>5111</v>
      </c>
      <c r="B2102" s="5" t="s">
        <v>5112</v>
      </c>
      <c r="C2102" s="5" t="s">
        <v>28</v>
      </c>
      <c r="D2102" s="5" t="s">
        <v>29</v>
      </c>
      <c r="E2102" s="5" t="s">
        <v>221</v>
      </c>
      <c r="F2102" s="9">
        <v>73</v>
      </c>
      <c r="G2102" s="9">
        <v>848</v>
      </c>
      <c r="H2102" s="5" t="s">
        <v>20</v>
      </c>
      <c r="I2102" s="5" t="s">
        <v>5113</v>
      </c>
      <c r="J2102" s="12" t="str">
        <f>HYPERLINK("https://www.boe.es/gazeta/dias/1807/08/14/pdfs/GMD-1807-73.pdf#page=12","Abrir facsímil")</f>
        <v>Abrir facsímil</v>
      </c>
      <c r="K2102" s="15" t="s">
        <v>22</v>
      </c>
    </row>
    <row r="2103" spans="1:11" ht="42" customHeight="1">
      <c r="A2103" s="4" t="s">
        <v>5114</v>
      </c>
      <c r="B2103" s="5" t="s">
        <v>5115</v>
      </c>
      <c r="C2103" s="5" t="s">
        <v>28</v>
      </c>
      <c r="D2103" s="5" t="s">
        <v>29</v>
      </c>
      <c r="E2103" s="5" t="s">
        <v>79</v>
      </c>
      <c r="F2103" s="9">
        <v>11</v>
      </c>
      <c r="G2103" s="9">
        <v>127</v>
      </c>
      <c r="H2103" s="5" t="s">
        <v>20</v>
      </c>
      <c r="I2103" s="5" t="s">
        <v>5116</v>
      </c>
      <c r="J2103" s="12" t="str">
        <f>HYPERLINK("https://www.boe.es/gazeta/dias/1807/01/30/pdfs/GMD-1807-11.pdf#page=11","Abrir facsímil")</f>
        <v>Abrir facsímil</v>
      </c>
      <c r="K2103" s="15" t="s">
        <v>22</v>
      </c>
    </row>
    <row r="2104" spans="1:11" ht="42" customHeight="1">
      <c r="A2104" s="4" t="s">
        <v>5117</v>
      </c>
      <c r="B2104" s="5" t="s">
        <v>5118</v>
      </c>
      <c r="C2104" s="5" t="s">
        <v>17</v>
      </c>
      <c r="D2104" s="5" t="s">
        <v>18</v>
      </c>
      <c r="E2104" s="5" t="s">
        <v>595</v>
      </c>
      <c r="F2104" s="9">
        <v>59</v>
      </c>
      <c r="G2104" s="9">
        <v>702</v>
      </c>
      <c r="H2104" s="5" t="s">
        <v>20</v>
      </c>
      <c r="I2104" s="5" t="s">
        <v>5119</v>
      </c>
      <c r="J2104" s="12" t="str">
        <f>HYPERLINK("https://www.boe.es/gazeta/dias/1807/07/10/pdfs/GMD-1807-59.pdf#page=8","Abrir facsímil")</f>
        <v>Abrir facsímil</v>
      </c>
      <c r="K2104" s="15" t="s">
        <v>22</v>
      </c>
    </row>
    <row r="2105" spans="1:11" ht="42" customHeight="1">
      <c r="A2105" s="4" t="s">
        <v>5120</v>
      </c>
      <c r="B2105" s="5" t="s">
        <v>5121</v>
      </c>
      <c r="C2105" s="5" t="s">
        <v>28</v>
      </c>
      <c r="D2105" s="5" t="s">
        <v>29</v>
      </c>
      <c r="E2105" s="5" t="s">
        <v>46</v>
      </c>
      <c r="F2105" s="9">
        <v>78</v>
      </c>
      <c r="G2105" s="9">
        <v>904</v>
      </c>
      <c r="H2105" s="5" t="s">
        <v>20</v>
      </c>
      <c r="I2105" s="5" t="s">
        <v>5122</v>
      </c>
      <c r="J2105" s="12" t="str">
        <f>HYPERLINK("https://www.boe.es/gazeta/dias/1807/09/01/pdfs/GMD-1807-78.pdf#page=8","Abrir facsímil")</f>
        <v>Abrir facsímil</v>
      </c>
      <c r="K2105" s="15" t="s">
        <v>22</v>
      </c>
    </row>
    <row r="2106" spans="1:11" ht="42" customHeight="1">
      <c r="A2106" s="4" t="s">
        <v>5123</v>
      </c>
      <c r="B2106" s="5" t="s">
        <v>5124</v>
      </c>
      <c r="C2106" s="5" t="s">
        <v>34</v>
      </c>
      <c r="D2106" s="5" t="s">
        <v>35</v>
      </c>
      <c r="E2106" s="5" t="s">
        <v>91</v>
      </c>
      <c r="F2106" s="9">
        <v>109</v>
      </c>
      <c r="G2106" s="9">
        <v>1273</v>
      </c>
      <c r="H2106" s="5" t="s">
        <v>20</v>
      </c>
      <c r="I2106" s="5" t="s">
        <v>5125</v>
      </c>
      <c r="J2106" s="12" t="str">
        <f>HYPERLINK("https://www.boe.es/gazeta/dias/1807/12/08/pdfs/GMD-1807-109.pdf#page=9","Abrir facsímil")</f>
        <v>Abrir facsímil</v>
      </c>
      <c r="K2106" s="15" t="s">
        <v>22</v>
      </c>
    </row>
    <row r="2107" spans="1:11" ht="42" customHeight="1">
      <c r="A2107" s="4" t="s">
        <v>5126</v>
      </c>
      <c r="B2107" s="5" t="s">
        <v>5127</v>
      </c>
      <c r="C2107" s="5" t="s">
        <v>34</v>
      </c>
      <c r="D2107" s="5" t="s">
        <v>35</v>
      </c>
      <c r="E2107" s="5" t="s">
        <v>215</v>
      </c>
      <c r="F2107" s="9">
        <v>5</v>
      </c>
      <c r="G2107" s="9">
        <v>51</v>
      </c>
      <c r="H2107" s="5" t="s">
        <v>20</v>
      </c>
      <c r="I2107" s="5" t="s">
        <v>5128</v>
      </c>
      <c r="J2107" s="12" t="str">
        <f>HYPERLINK("https://www.boe.es/gazeta/dias/1807/01/16/pdfs/GMD-1807-5.pdf#page=7","Abrir facsímil")</f>
        <v>Abrir facsímil</v>
      </c>
      <c r="K2107" s="15" t="s">
        <v>22</v>
      </c>
    </row>
    <row r="2108" spans="1:11" ht="42" customHeight="1">
      <c r="A2108" s="4" t="s">
        <v>5129</v>
      </c>
      <c r="B2108" s="5" t="s">
        <v>5130</v>
      </c>
      <c r="C2108" s="5" t="s">
        <v>24</v>
      </c>
      <c r="D2108" s="5" t="s">
        <v>18</v>
      </c>
      <c r="E2108" s="5" t="s">
        <v>190</v>
      </c>
      <c r="F2108" s="9">
        <v>37</v>
      </c>
      <c r="G2108" s="9">
        <v>443</v>
      </c>
      <c r="H2108" s="5" t="s">
        <v>20</v>
      </c>
      <c r="I2108" s="5" t="s">
        <v>5131</v>
      </c>
      <c r="J2108" s="12" t="str">
        <f>HYPERLINK("https://www.boe.es/gazeta/dias/1807/04/28/pdfs/GMD-1807-37.pdf#page=11","Abrir facsímil")</f>
        <v>Abrir facsímil</v>
      </c>
      <c r="K2108" s="15" t="s">
        <v>22</v>
      </c>
    </row>
    <row r="2109" spans="1:11" ht="42" customHeight="1">
      <c r="A2109" s="4" t="s">
        <v>5129</v>
      </c>
      <c r="B2109" s="5" t="s">
        <v>5130</v>
      </c>
      <c r="C2109" s="5" t="s">
        <v>24</v>
      </c>
      <c r="D2109" s="5" t="s">
        <v>18</v>
      </c>
      <c r="E2109" s="5" t="s">
        <v>149</v>
      </c>
      <c r="F2109" s="9">
        <v>38</v>
      </c>
      <c r="G2109" s="9">
        <v>453</v>
      </c>
      <c r="H2109" s="5" t="s">
        <v>20</v>
      </c>
      <c r="I2109" s="5" t="s">
        <v>5132</v>
      </c>
      <c r="J2109" s="12" t="str">
        <f>HYPERLINK("https://www.boe.es/gazeta/dias/1807/05/01/pdfs/GMD-1807-38.pdf#page=9","Abrir facsímil")</f>
        <v>Abrir facsímil</v>
      </c>
      <c r="K2109" s="15" t="s">
        <v>22</v>
      </c>
    </row>
    <row r="2110" spans="1:11" ht="42" customHeight="1">
      <c r="A2110" s="4" t="s">
        <v>5129</v>
      </c>
      <c r="B2110" s="5" t="s">
        <v>5130</v>
      </c>
      <c r="C2110" s="5" t="s">
        <v>24</v>
      </c>
      <c r="D2110" s="5" t="s">
        <v>18</v>
      </c>
      <c r="E2110" s="5" t="s">
        <v>19</v>
      </c>
      <c r="F2110" s="9">
        <v>41</v>
      </c>
      <c r="G2110" s="9">
        <v>492</v>
      </c>
      <c r="H2110" s="5" t="s">
        <v>20</v>
      </c>
      <c r="I2110" s="5" t="s">
        <v>5133</v>
      </c>
      <c r="J2110" s="12" t="str">
        <f>HYPERLINK("https://www.boe.es/gazeta/dias/1807/05/12/pdfs/GMD-1807-41.pdf#page=10","Abrir facsímil")</f>
        <v>Abrir facsímil</v>
      </c>
      <c r="K2110" s="15" t="s">
        <v>22</v>
      </c>
    </row>
    <row r="2111" spans="1:11" ht="42" customHeight="1">
      <c r="A2111" s="4" t="s">
        <v>5129</v>
      </c>
      <c r="B2111" s="5" t="s">
        <v>5130</v>
      </c>
      <c r="C2111" s="5" t="s">
        <v>24</v>
      </c>
      <c r="D2111" s="5" t="s">
        <v>18</v>
      </c>
      <c r="E2111" s="5" t="s">
        <v>135</v>
      </c>
      <c r="F2111" s="9">
        <v>80</v>
      </c>
      <c r="G2111" s="9">
        <v>935</v>
      </c>
      <c r="H2111" s="5" t="s">
        <v>20</v>
      </c>
      <c r="I2111" s="5" t="s">
        <v>5134</v>
      </c>
      <c r="J2111" s="12" t="str">
        <f>HYPERLINK("https://www.boe.es/gazeta/dias/1807/09/08/pdfs/GMD-1807-80.pdf#page=11","Abrir facsímil")</f>
        <v>Abrir facsímil</v>
      </c>
      <c r="K2111" s="15" t="s">
        <v>22</v>
      </c>
    </row>
    <row r="2112" spans="1:11" ht="42" customHeight="1">
      <c r="A2112" s="4" t="s">
        <v>5135</v>
      </c>
      <c r="B2112" s="5" t="s">
        <v>5136</v>
      </c>
      <c r="C2112" s="5" t="s">
        <v>34</v>
      </c>
      <c r="D2112" s="5" t="s">
        <v>35</v>
      </c>
      <c r="E2112" s="5" t="s">
        <v>179</v>
      </c>
      <c r="F2112" s="9">
        <v>100</v>
      </c>
      <c r="G2112" s="9">
        <v>1164</v>
      </c>
      <c r="H2112" s="5" t="s">
        <v>20</v>
      </c>
      <c r="I2112" s="5" t="s">
        <v>5137</v>
      </c>
      <c r="J2112" s="12" t="str">
        <f>HYPERLINK("https://www.boe.es/gazeta/dias/1807/11/10/pdfs/GMD-1807-100.pdf#page=8","Abrir facsímil")</f>
        <v>Abrir facsímil</v>
      </c>
      <c r="K2112" s="15" t="s">
        <v>22</v>
      </c>
    </row>
    <row r="2113" spans="1:11" ht="42" customHeight="1">
      <c r="A2113" s="4" t="s">
        <v>5138</v>
      </c>
      <c r="B2113" s="5" t="s">
        <v>5139</v>
      </c>
      <c r="C2113" s="5" t="s">
        <v>24</v>
      </c>
      <c r="D2113" s="5" t="s">
        <v>18</v>
      </c>
      <c r="E2113" s="5" t="s">
        <v>447</v>
      </c>
      <c r="F2113" s="9">
        <v>65</v>
      </c>
      <c r="G2113" s="9">
        <v>760</v>
      </c>
      <c r="H2113" s="5" t="s">
        <v>20</v>
      </c>
      <c r="I2113" s="5" t="s">
        <v>5140</v>
      </c>
      <c r="J2113" s="12" t="str">
        <f>HYPERLINK("https://www.boe.es/gazeta/dias/1807/07/24/pdfs/GMD-1807-65.pdf#page=10","Abrir facsímil")</f>
        <v>Abrir facsímil</v>
      </c>
      <c r="K2113" s="15" t="s">
        <v>22</v>
      </c>
    </row>
    <row r="2114" spans="1:11" ht="42" customHeight="1">
      <c r="A2114" s="4" t="s">
        <v>5141</v>
      </c>
      <c r="B2114" s="5" t="s">
        <v>5142</v>
      </c>
      <c r="C2114" s="5" t="s">
        <v>34</v>
      </c>
      <c r="D2114" s="5" t="s">
        <v>35</v>
      </c>
      <c r="E2114" s="5" t="s">
        <v>30</v>
      </c>
      <c r="F2114" s="9">
        <v>13</v>
      </c>
      <c r="G2114" s="9">
        <v>151</v>
      </c>
      <c r="H2114" s="5" t="s">
        <v>20</v>
      </c>
      <c r="I2114" s="5" t="s">
        <v>5143</v>
      </c>
      <c r="J2114" s="12" t="str">
        <f>HYPERLINK("https://www.boe.es/gazeta/dias/1807/02/06/pdfs/GMD-1807-13.pdf#page=11","Abrir facsímil")</f>
        <v>Abrir facsímil</v>
      </c>
      <c r="K2114" s="15" t="s">
        <v>22</v>
      </c>
    </row>
    <row r="2115" spans="1:11" ht="42" customHeight="1">
      <c r="A2115" s="4" t="s">
        <v>5141</v>
      </c>
      <c r="B2115" s="5" t="s">
        <v>5142</v>
      </c>
      <c r="C2115" s="5" t="s">
        <v>34</v>
      </c>
      <c r="D2115" s="5" t="s">
        <v>35</v>
      </c>
      <c r="E2115" s="5" t="s">
        <v>282</v>
      </c>
      <c r="F2115" s="9">
        <v>16</v>
      </c>
      <c r="G2115" s="9">
        <v>187</v>
      </c>
      <c r="H2115" s="5" t="s">
        <v>20</v>
      </c>
      <c r="I2115" s="5" t="s">
        <v>5144</v>
      </c>
      <c r="J2115" s="12" t="str">
        <f>HYPERLINK("https://www.boe.es/gazeta/dias/1807/02/17/pdfs/GMD-1807-16.pdf#page=11","Abrir facsímil")</f>
        <v>Abrir facsímil</v>
      </c>
      <c r="K2115" s="15" t="s">
        <v>22</v>
      </c>
    </row>
    <row r="2116" spans="1:11" ht="42" customHeight="1">
      <c r="A2116" s="4" t="s">
        <v>5141</v>
      </c>
      <c r="B2116" s="5" t="s">
        <v>5142</v>
      </c>
      <c r="C2116" s="5" t="s">
        <v>34</v>
      </c>
      <c r="D2116" s="5" t="s">
        <v>35</v>
      </c>
      <c r="E2116" s="5" t="s">
        <v>478</v>
      </c>
      <c r="F2116" s="9">
        <v>30</v>
      </c>
      <c r="G2116" s="9">
        <v>359</v>
      </c>
      <c r="H2116" s="5" t="s">
        <v>20</v>
      </c>
      <c r="I2116" s="5" t="s">
        <v>5145</v>
      </c>
      <c r="J2116" s="12" t="str">
        <f>HYPERLINK("https://www.boe.es/gazeta/dias/1807/04/03/pdfs/GMD-1807-30.pdf#page=11","Abrir facsímil")</f>
        <v>Abrir facsímil</v>
      </c>
      <c r="K2116" s="15" t="s">
        <v>22</v>
      </c>
    </row>
    <row r="2117" spans="1:11" ht="42" customHeight="1">
      <c r="A2117" s="4" t="s">
        <v>5141</v>
      </c>
      <c r="B2117" s="5" t="s">
        <v>5142</v>
      </c>
      <c r="C2117" s="5" t="s">
        <v>34</v>
      </c>
      <c r="D2117" s="5" t="s">
        <v>35</v>
      </c>
      <c r="E2117" s="5" t="s">
        <v>19</v>
      </c>
      <c r="F2117" s="9">
        <v>41</v>
      </c>
      <c r="G2117" s="9">
        <v>492</v>
      </c>
      <c r="H2117" s="5" t="s">
        <v>20</v>
      </c>
      <c r="I2117" s="5" t="s">
        <v>5146</v>
      </c>
      <c r="J2117" s="12" t="str">
        <f>HYPERLINK("https://www.boe.es/gazeta/dias/1807/05/12/pdfs/GMD-1807-41.pdf#page=10","Abrir facsímil")</f>
        <v>Abrir facsímil</v>
      </c>
      <c r="K2117" s="15" t="s">
        <v>22</v>
      </c>
    </row>
    <row r="2118" spans="1:11" ht="42" customHeight="1">
      <c r="A2118" s="4" t="s">
        <v>5141</v>
      </c>
      <c r="B2118" s="5" t="s">
        <v>5142</v>
      </c>
      <c r="C2118" s="5" t="s">
        <v>34</v>
      </c>
      <c r="D2118" s="5" t="s">
        <v>35</v>
      </c>
      <c r="E2118" s="5" t="s">
        <v>65</v>
      </c>
      <c r="F2118" s="9">
        <v>52</v>
      </c>
      <c r="G2118" s="9">
        <v>624</v>
      </c>
      <c r="H2118" s="5" t="s">
        <v>20</v>
      </c>
      <c r="I2118" s="5" t="s">
        <v>5147</v>
      </c>
      <c r="J2118" s="12" t="str">
        <f>HYPERLINK("https://www.boe.es/gazeta/dias/1807/06/19/pdfs/GMD-1807-52.pdf#page=14","Abrir facsímil")</f>
        <v>Abrir facsímil</v>
      </c>
      <c r="K2118" s="15" t="s">
        <v>22</v>
      </c>
    </row>
    <row r="2119" spans="1:11" ht="42" customHeight="1">
      <c r="A2119" s="4" t="s">
        <v>5141</v>
      </c>
      <c r="B2119" s="5" t="s">
        <v>5142</v>
      </c>
      <c r="C2119" s="5" t="s">
        <v>34</v>
      </c>
      <c r="D2119" s="5" t="s">
        <v>35</v>
      </c>
      <c r="E2119" s="5" t="s">
        <v>319</v>
      </c>
      <c r="F2119" s="9">
        <v>54</v>
      </c>
      <c r="G2119" s="9">
        <v>648</v>
      </c>
      <c r="H2119" s="5" t="s">
        <v>20</v>
      </c>
      <c r="I2119" s="5" t="s">
        <v>5148</v>
      </c>
      <c r="J2119" s="12" t="str">
        <f>HYPERLINK("https://www.boe.es/gazeta/dias/1807/06/26/pdfs/GMD-1807-54.pdf#page=10","Abrir facsímil")</f>
        <v>Abrir facsímil</v>
      </c>
      <c r="K2119" s="15" t="s">
        <v>22</v>
      </c>
    </row>
    <row r="2120" spans="1:11" ht="42" customHeight="1">
      <c r="A2120" s="4" t="s">
        <v>5141</v>
      </c>
      <c r="B2120" s="5" t="s">
        <v>5142</v>
      </c>
      <c r="C2120" s="5" t="s">
        <v>24</v>
      </c>
      <c r="D2120" s="5" t="s">
        <v>18</v>
      </c>
      <c r="E2120" s="5" t="s">
        <v>51</v>
      </c>
      <c r="F2120" s="9">
        <v>62</v>
      </c>
      <c r="G2120" s="9">
        <v>733</v>
      </c>
      <c r="H2120" s="5" t="s">
        <v>20</v>
      </c>
      <c r="I2120" s="5" t="s">
        <v>5149</v>
      </c>
      <c r="J2120" s="12" t="str">
        <f>HYPERLINK("https://www.boe.es/gazeta/dias/1807/07/17/pdfs/GMD-1807-62.pdf#page=7","Abrir facsímil")</f>
        <v>Abrir facsímil</v>
      </c>
      <c r="K2120" s="15" t="s">
        <v>22</v>
      </c>
    </row>
    <row r="2121" spans="1:11" ht="42" customHeight="1">
      <c r="A2121" s="4" t="s">
        <v>5141</v>
      </c>
      <c r="B2121" s="5" t="s">
        <v>5142</v>
      </c>
      <c r="C2121" s="5" t="s">
        <v>34</v>
      </c>
      <c r="D2121" s="5" t="s">
        <v>35</v>
      </c>
      <c r="E2121" s="5" t="s">
        <v>793</v>
      </c>
      <c r="F2121" s="9">
        <v>87</v>
      </c>
      <c r="G2121" s="9">
        <v>1011</v>
      </c>
      <c r="H2121" s="5" t="s">
        <v>20</v>
      </c>
      <c r="I2121" s="5" t="s">
        <v>5150</v>
      </c>
      <c r="J2121" s="12" t="str">
        <f>HYPERLINK("https://www.boe.es/gazeta/dias/1807/09/29/pdfs/GMD-1807-87.pdf#page=11","Abrir facsímil")</f>
        <v>Abrir facsímil</v>
      </c>
      <c r="K2121" s="15" t="s">
        <v>22</v>
      </c>
    </row>
    <row r="2122" spans="1:11" ht="42" customHeight="1">
      <c r="A2122" s="4" t="s">
        <v>5141</v>
      </c>
      <c r="B2122" s="5" t="s">
        <v>5142</v>
      </c>
      <c r="C2122" s="5" t="s">
        <v>34</v>
      </c>
      <c r="D2122" s="5" t="s">
        <v>35</v>
      </c>
      <c r="E2122" s="5" t="s">
        <v>426</v>
      </c>
      <c r="F2122" s="9">
        <v>93</v>
      </c>
      <c r="G2122" s="9">
        <v>1082</v>
      </c>
      <c r="H2122" s="5" t="s">
        <v>20</v>
      </c>
      <c r="I2122" s="5" t="s">
        <v>5151</v>
      </c>
      <c r="J2122" s="12" t="str">
        <f>HYPERLINK("https://www.boe.es/gazeta/dias/1807/10/16/pdfs/GMD-1807-93.pdf#page=10","Abrir facsímil")</f>
        <v>Abrir facsímil</v>
      </c>
      <c r="K2122" s="15" t="s">
        <v>22</v>
      </c>
    </row>
    <row r="2123" spans="1:11" ht="42" customHeight="1">
      <c r="A2123" s="4" t="s">
        <v>5141</v>
      </c>
      <c r="B2123" s="5" t="s">
        <v>5142</v>
      </c>
      <c r="C2123" s="5" t="s">
        <v>24</v>
      </c>
      <c r="D2123" s="5" t="s">
        <v>18</v>
      </c>
      <c r="E2123" s="5" t="s">
        <v>245</v>
      </c>
      <c r="F2123" s="9">
        <v>97</v>
      </c>
      <c r="G2123" s="9">
        <v>1130</v>
      </c>
      <c r="H2123" s="5" t="s">
        <v>20</v>
      </c>
      <c r="I2123" s="5" t="s">
        <v>5152</v>
      </c>
      <c r="J2123" s="12" t="str">
        <f>HYPERLINK("https://www.boe.es/gazeta/dias/1807/10/30/pdfs/GMD-1807-97.pdf#page=10","Abrir facsímil")</f>
        <v>Abrir facsímil</v>
      </c>
      <c r="K2123" s="15" t="s">
        <v>22</v>
      </c>
    </row>
    <row r="2124" spans="1:11" ht="42" customHeight="1">
      <c r="A2124" s="4" t="s">
        <v>5141</v>
      </c>
      <c r="B2124" s="5" t="s">
        <v>5142</v>
      </c>
      <c r="C2124" s="5" t="s">
        <v>34</v>
      </c>
      <c r="D2124" s="5" t="s">
        <v>35</v>
      </c>
      <c r="E2124" s="5" t="s">
        <v>296</v>
      </c>
      <c r="F2124" s="9">
        <v>102</v>
      </c>
      <c r="G2124" s="9">
        <v>1190</v>
      </c>
      <c r="H2124" s="5" t="s">
        <v>20</v>
      </c>
      <c r="I2124" s="5" t="s">
        <v>5153</v>
      </c>
      <c r="J2124" s="12" t="str">
        <f>HYPERLINK("https://www.boe.es/gazeta/dias/1807/11/17/pdfs/GMD-1807-102.pdf#page=10","Abrir facsímil")</f>
        <v>Abrir facsímil</v>
      </c>
      <c r="K2124" s="15" t="s">
        <v>22</v>
      </c>
    </row>
    <row r="2125" spans="1:11" ht="42" customHeight="1">
      <c r="A2125" s="4" t="s">
        <v>5141</v>
      </c>
      <c r="B2125" s="5" t="s">
        <v>5142</v>
      </c>
      <c r="C2125" s="5" t="s">
        <v>34</v>
      </c>
      <c r="D2125" s="5" t="s">
        <v>35</v>
      </c>
      <c r="E2125" s="5" t="s">
        <v>327</v>
      </c>
      <c r="F2125" s="9">
        <v>108</v>
      </c>
      <c r="G2125" s="9">
        <v>1262</v>
      </c>
      <c r="H2125" s="5" t="s">
        <v>20</v>
      </c>
      <c r="I2125" s="5" t="s">
        <v>5154</v>
      </c>
      <c r="J2125" s="12" t="str">
        <f>HYPERLINK("https://www.boe.es/gazeta/dias/1807/12/04/pdfs/GMD-1807-108.pdf#page=10","Abrir facsímil")</f>
        <v>Abrir facsímil</v>
      </c>
      <c r="K2125" s="15" t="s">
        <v>22</v>
      </c>
    </row>
    <row r="2126" spans="1:11" ht="42" customHeight="1">
      <c r="A2126" s="4" t="s">
        <v>5141</v>
      </c>
      <c r="B2126" s="5" t="s">
        <v>5142</v>
      </c>
      <c r="C2126" s="5" t="s">
        <v>34</v>
      </c>
      <c r="D2126" s="5" t="s">
        <v>35</v>
      </c>
      <c r="E2126" s="5" t="s">
        <v>361</v>
      </c>
      <c r="F2126" s="9">
        <v>113</v>
      </c>
      <c r="G2126" s="9">
        <v>1323</v>
      </c>
      <c r="H2126" s="5" t="s">
        <v>20</v>
      </c>
      <c r="I2126" s="5" t="s">
        <v>5155</v>
      </c>
      <c r="J2126" s="12" t="str">
        <f>HYPERLINK("https://www.boe.es/gazeta/dias/1807/12/22/pdfs/GMD-1807-113.pdf#page=11","Abrir facsímil")</f>
        <v>Abrir facsímil</v>
      </c>
      <c r="K2126" s="15" t="s">
        <v>22</v>
      </c>
    </row>
    <row r="2127" spans="1:11" ht="42" customHeight="1">
      <c r="A2127" s="4" t="s">
        <v>5156</v>
      </c>
      <c r="B2127" s="5" t="s">
        <v>5157</v>
      </c>
      <c r="C2127" s="5" t="s">
        <v>34</v>
      </c>
      <c r="D2127" s="5" t="s">
        <v>35</v>
      </c>
      <c r="E2127" s="5" t="s">
        <v>94</v>
      </c>
      <c r="F2127" s="9">
        <v>22</v>
      </c>
      <c r="G2127" s="9">
        <v>255</v>
      </c>
      <c r="H2127" s="5" t="s">
        <v>20</v>
      </c>
      <c r="I2127" s="5" t="s">
        <v>5158</v>
      </c>
      <c r="J2127" s="12" t="str">
        <f>HYPERLINK("https://www.boe.es/gazeta/dias/1807/03/06/pdfs/GMD-1807-22.pdf#page=7","Abrir facsímil")</f>
        <v>Abrir facsímil</v>
      </c>
      <c r="K2127" s="15" t="s">
        <v>22</v>
      </c>
    </row>
    <row r="2128" spans="1:11" ht="42" customHeight="1">
      <c r="A2128" s="4" t="s">
        <v>5159</v>
      </c>
      <c r="B2128" s="5" t="s">
        <v>5160</v>
      </c>
      <c r="C2128" s="5" t="s">
        <v>28</v>
      </c>
      <c r="D2128" s="5" t="s">
        <v>29</v>
      </c>
      <c r="E2128" s="5" t="s">
        <v>25</v>
      </c>
      <c r="F2128" s="9">
        <v>45</v>
      </c>
      <c r="G2128" s="9">
        <v>537</v>
      </c>
      <c r="H2128" s="5" t="s">
        <v>20</v>
      </c>
      <c r="I2128" s="5" t="s">
        <v>5161</v>
      </c>
      <c r="J2128" s="12" t="str">
        <f>HYPERLINK("https://www.boe.es/gazeta/dias/1807/05/26/pdfs/GMD-1807-45.pdf#page=7","Abrir facsímil")</f>
        <v>Abrir facsímil</v>
      </c>
      <c r="K2128" s="15" t="s">
        <v>22</v>
      </c>
    </row>
    <row r="2129" spans="1:11" ht="42" customHeight="1">
      <c r="A2129" s="4" t="s">
        <v>5162</v>
      </c>
      <c r="B2129" s="5" t="s">
        <v>5163</v>
      </c>
      <c r="C2129" s="5" t="s">
        <v>24</v>
      </c>
      <c r="D2129" s="5" t="s">
        <v>18</v>
      </c>
      <c r="E2129" s="5" t="s">
        <v>270</v>
      </c>
      <c r="F2129" s="9">
        <v>8</v>
      </c>
      <c r="G2129" s="9">
        <v>95</v>
      </c>
      <c r="H2129" s="5" t="s">
        <v>20</v>
      </c>
      <c r="I2129" s="5" t="s">
        <v>5164</v>
      </c>
      <c r="J2129" s="12" t="str">
        <f>HYPERLINK("https://www.boe.es/gazeta/dias/1807/01/23/pdfs/GMD-1807-8.pdf#page=11","Abrir facsímil")</f>
        <v>Abrir facsímil</v>
      </c>
      <c r="K2129" s="15" t="s">
        <v>22</v>
      </c>
    </row>
    <row r="2130" spans="1:11" ht="42" customHeight="1">
      <c r="A2130" s="4" t="s">
        <v>5162</v>
      </c>
      <c r="B2130" s="5" t="s">
        <v>5163</v>
      </c>
      <c r="C2130" s="5" t="s">
        <v>24</v>
      </c>
      <c r="D2130" s="5" t="s">
        <v>18</v>
      </c>
      <c r="E2130" s="5" t="s">
        <v>98</v>
      </c>
      <c r="F2130" s="9">
        <v>34</v>
      </c>
      <c r="G2130" s="9">
        <v>406</v>
      </c>
      <c r="H2130" s="5" t="s">
        <v>20</v>
      </c>
      <c r="I2130" s="5" t="s">
        <v>5165</v>
      </c>
      <c r="J2130" s="12" t="str">
        <f>HYPERLINK("https://www.boe.es/gazeta/dias/1807/04/17/pdfs/GMD-1807-34.pdf#page=10","Abrir facsímil")</f>
        <v>Abrir facsímil</v>
      </c>
      <c r="K2130" s="15" t="s">
        <v>22</v>
      </c>
    </row>
    <row r="2131" spans="1:11" ht="42" customHeight="1">
      <c r="A2131" s="4" t="s">
        <v>5162</v>
      </c>
      <c r="B2131" s="5" t="s">
        <v>5163</v>
      </c>
      <c r="C2131" s="5" t="s">
        <v>24</v>
      </c>
      <c r="D2131" s="5" t="s">
        <v>18</v>
      </c>
      <c r="E2131" s="5" t="s">
        <v>219</v>
      </c>
      <c r="F2131" s="9">
        <v>56</v>
      </c>
      <c r="G2131" s="9">
        <v>672</v>
      </c>
      <c r="H2131" s="5" t="s">
        <v>20</v>
      </c>
      <c r="I2131" s="5" t="s">
        <v>5166</v>
      </c>
      <c r="J2131" s="12" t="str">
        <f>HYPERLINK("https://www.boe.es/gazeta/dias/1807/07/03/pdfs/GMD-1807-56.pdf#page=10","Abrir facsímil")</f>
        <v>Abrir facsímil</v>
      </c>
      <c r="K2131" s="15" t="s">
        <v>22</v>
      </c>
    </row>
    <row r="2132" spans="1:11" ht="42" customHeight="1">
      <c r="A2132" s="4" t="s">
        <v>5162</v>
      </c>
      <c r="B2132" s="5" t="s">
        <v>5163</v>
      </c>
      <c r="C2132" s="5" t="s">
        <v>24</v>
      </c>
      <c r="D2132" s="5" t="s">
        <v>18</v>
      </c>
      <c r="E2132" s="5" t="s">
        <v>53</v>
      </c>
      <c r="F2132" s="9">
        <v>64</v>
      </c>
      <c r="G2132" s="9">
        <v>749</v>
      </c>
      <c r="H2132" s="5" t="s">
        <v>20</v>
      </c>
      <c r="I2132" s="5" t="s">
        <v>5167</v>
      </c>
      <c r="J2132" s="12" t="str">
        <f>HYPERLINK("https://www.boe.es/gazeta/dias/1807/07/21/pdfs/GMD-1807-64.pdf#page=11","Abrir facsímil")</f>
        <v>Abrir facsímil</v>
      </c>
      <c r="K2132" s="15" t="s">
        <v>22</v>
      </c>
    </row>
    <row r="2133" spans="1:11" ht="42" customHeight="1">
      <c r="A2133" s="4" t="s">
        <v>5168</v>
      </c>
      <c r="B2133" s="5" t="s">
        <v>5169</v>
      </c>
      <c r="C2133" s="5" t="s">
        <v>28</v>
      </c>
      <c r="D2133" s="5" t="s">
        <v>29</v>
      </c>
      <c r="E2133" s="5" t="s">
        <v>25</v>
      </c>
      <c r="F2133" s="9">
        <v>45</v>
      </c>
      <c r="G2133" s="9">
        <v>538</v>
      </c>
      <c r="H2133" s="5" t="s">
        <v>20</v>
      </c>
      <c r="I2133" s="5" t="s">
        <v>5170</v>
      </c>
      <c r="J2133" s="12" t="str">
        <f>HYPERLINK("https://www.boe.es/gazeta/dias/1807/05/26/pdfs/GMD-1807-45.pdf#page=8","Abrir facsímil")</f>
        <v>Abrir facsímil</v>
      </c>
      <c r="K2133" s="15" t="s">
        <v>22</v>
      </c>
    </row>
    <row r="2134" spans="1:11" ht="42" customHeight="1">
      <c r="A2134" s="4" t="s">
        <v>5171</v>
      </c>
      <c r="B2134" s="5" t="s">
        <v>5172</v>
      </c>
      <c r="C2134" s="5" t="s">
        <v>34</v>
      </c>
      <c r="D2134" s="5" t="s">
        <v>35</v>
      </c>
      <c r="E2134" s="5" t="s">
        <v>346</v>
      </c>
      <c r="F2134" s="9">
        <v>21</v>
      </c>
      <c r="G2134" s="9">
        <v>245</v>
      </c>
      <c r="H2134" s="5" t="s">
        <v>20</v>
      </c>
      <c r="I2134" s="5" t="s">
        <v>5173</v>
      </c>
      <c r="J2134" s="12" t="str">
        <f>HYPERLINK("https://www.boe.es/gazeta/dias/1807/03/03/pdfs/GMD-1807-21.pdf#page=9","Abrir facsímil")</f>
        <v>Abrir facsímil</v>
      </c>
      <c r="K2134" s="15" t="s">
        <v>22</v>
      </c>
    </row>
    <row r="2135" spans="1:11" ht="42" customHeight="1">
      <c r="A2135" s="4" t="s">
        <v>5174</v>
      </c>
      <c r="B2135" s="5" t="s">
        <v>5175</v>
      </c>
      <c r="C2135" s="5" t="s">
        <v>34</v>
      </c>
      <c r="D2135" s="5" t="s">
        <v>35</v>
      </c>
      <c r="E2135" s="5" t="s">
        <v>464</v>
      </c>
      <c r="F2135" s="9">
        <v>18</v>
      </c>
      <c r="G2135" s="9">
        <v>212</v>
      </c>
      <c r="H2135" s="5" t="s">
        <v>20</v>
      </c>
      <c r="I2135" s="5" t="s">
        <v>5176</v>
      </c>
      <c r="J2135" s="12" t="str">
        <f>HYPERLINK("https://www.boe.es/gazeta/dias/1807/02/24/pdfs/GMD-1807-18.pdf#page=12","Abrir facsímil")</f>
        <v>Abrir facsímil</v>
      </c>
      <c r="K2135" s="15" t="s">
        <v>22</v>
      </c>
    </row>
    <row r="2136" spans="1:11" ht="42" customHeight="1">
      <c r="A2136" s="4" t="s">
        <v>5177</v>
      </c>
      <c r="B2136" s="5" t="s">
        <v>5178</v>
      </c>
      <c r="C2136" s="5" t="s">
        <v>17</v>
      </c>
      <c r="D2136" s="5" t="s">
        <v>18</v>
      </c>
      <c r="E2136" s="5" t="s">
        <v>418</v>
      </c>
      <c r="F2136" s="9">
        <v>4</v>
      </c>
      <c r="G2136" s="9">
        <v>40</v>
      </c>
      <c r="H2136" s="5" t="s">
        <v>20</v>
      </c>
      <c r="I2136" s="5" t="s">
        <v>5179</v>
      </c>
      <c r="J2136" s="12" t="str">
        <f>HYPERLINK("https://www.boe.es/gazeta/dias/1807/01/13/pdfs/GMD-1807-4.pdf#page=8","Abrir facsímil")</f>
        <v>Abrir facsímil</v>
      </c>
      <c r="K2136" s="15" t="s">
        <v>22</v>
      </c>
    </row>
    <row r="2137" spans="1:11" ht="42" customHeight="1">
      <c r="A2137" s="4" t="s">
        <v>5180</v>
      </c>
      <c r="B2137" s="5" t="s">
        <v>5181</v>
      </c>
      <c r="C2137" s="5" t="s">
        <v>28</v>
      </c>
      <c r="D2137" s="5" t="s">
        <v>29</v>
      </c>
      <c r="E2137" s="5" t="s">
        <v>259</v>
      </c>
      <c r="F2137" s="9">
        <v>3</v>
      </c>
      <c r="G2137" s="9">
        <v>27</v>
      </c>
      <c r="H2137" s="5" t="s">
        <v>20</v>
      </c>
      <c r="I2137" s="5" t="s">
        <v>5182</v>
      </c>
      <c r="J2137" s="12" t="str">
        <f>HYPERLINK("https://www.boe.es/gazeta/dias/1807/01/09/pdfs/GMD-1807-3.pdf#page=7","Abrir facsímil")</f>
        <v>Abrir facsímil</v>
      </c>
      <c r="K2137" s="15" t="s">
        <v>22</v>
      </c>
    </row>
    <row r="2138" spans="1:11" ht="42" customHeight="1">
      <c r="A2138" s="4" t="s">
        <v>5183</v>
      </c>
      <c r="B2138" s="5" t="s">
        <v>5184</v>
      </c>
      <c r="C2138" s="5" t="s">
        <v>17</v>
      </c>
      <c r="D2138" s="5" t="s">
        <v>18</v>
      </c>
      <c r="E2138" s="5" t="s">
        <v>666</v>
      </c>
      <c r="F2138" s="9">
        <v>43</v>
      </c>
      <c r="G2138" s="9">
        <v>514</v>
      </c>
      <c r="H2138" s="5" t="s">
        <v>20</v>
      </c>
      <c r="I2138" s="5" t="s">
        <v>5185</v>
      </c>
      <c r="J2138" s="12" t="str">
        <f>HYPERLINK("https://www.boe.es/gazeta/dias/1807/05/19/pdfs/GMD-1807-43.pdf#page=8","Abrir facsímil")</f>
        <v>Abrir facsímil</v>
      </c>
      <c r="K2138" s="15" t="s">
        <v>22</v>
      </c>
    </row>
    <row r="2139" spans="1:11" ht="42" customHeight="1">
      <c r="A2139" s="4" t="s">
        <v>5183</v>
      </c>
      <c r="B2139" s="5" t="s">
        <v>5184</v>
      </c>
      <c r="C2139" s="5" t="s">
        <v>34</v>
      </c>
      <c r="D2139" s="5" t="s">
        <v>35</v>
      </c>
      <c r="E2139" s="5" t="s">
        <v>581</v>
      </c>
      <c r="F2139" s="9">
        <v>71</v>
      </c>
      <c r="G2139" s="9">
        <v>815</v>
      </c>
      <c r="H2139" s="5" t="s">
        <v>20</v>
      </c>
      <c r="I2139" s="5" t="s">
        <v>5186</v>
      </c>
      <c r="J2139" s="12" t="str">
        <f>HYPERLINK("https://www.boe.es/gazeta/dias/1807/08/07/pdfs/GMD-1807-71.pdf#page=7","Abrir facsímil")</f>
        <v>Abrir facsímil</v>
      </c>
      <c r="K2139" s="15" t="s">
        <v>22</v>
      </c>
    </row>
    <row r="2140" spans="1:11" ht="42" customHeight="1">
      <c r="A2140" s="4" t="s">
        <v>5187</v>
      </c>
      <c r="B2140" s="5" t="s">
        <v>5188</v>
      </c>
      <c r="C2140" s="5" t="s">
        <v>34</v>
      </c>
      <c r="D2140" s="5" t="s">
        <v>35</v>
      </c>
      <c r="E2140" s="5" t="s">
        <v>224</v>
      </c>
      <c r="F2140" s="9">
        <v>91</v>
      </c>
      <c r="G2140" s="9">
        <v>1055</v>
      </c>
      <c r="H2140" s="5" t="s">
        <v>20</v>
      </c>
      <c r="I2140" s="5" t="s">
        <v>5189</v>
      </c>
      <c r="J2140" s="12" t="str">
        <f>HYPERLINK("https://www.boe.es/gazeta/dias/1807/10/09/pdfs/GMD-1807-91.pdf#page=7","Abrir facsímil")</f>
        <v>Abrir facsímil</v>
      </c>
      <c r="K2140" s="15" t="s">
        <v>22</v>
      </c>
    </row>
    <row r="2141" spans="1:11" ht="42" customHeight="1">
      <c r="A2141" s="4" t="s">
        <v>5190</v>
      </c>
      <c r="B2141" s="5" t="s">
        <v>5191</v>
      </c>
      <c r="C2141" s="5" t="s">
        <v>34</v>
      </c>
      <c r="D2141" s="5" t="s">
        <v>35</v>
      </c>
      <c r="E2141" s="5" t="s">
        <v>259</v>
      </c>
      <c r="F2141" s="9">
        <v>3</v>
      </c>
      <c r="G2141" s="9">
        <v>27</v>
      </c>
      <c r="H2141" s="5" t="s">
        <v>20</v>
      </c>
      <c r="I2141" s="5" t="s">
        <v>5192</v>
      </c>
      <c r="J2141" s="12" t="str">
        <f>HYPERLINK("https://www.boe.es/gazeta/dias/1807/01/09/pdfs/GMD-1807-3.pdf#page=7","Abrir facsímil")</f>
        <v>Abrir facsímil</v>
      </c>
      <c r="K2141" s="15" t="s">
        <v>22</v>
      </c>
    </row>
    <row r="2142" spans="1:11" ht="42" customHeight="1">
      <c r="A2142" s="4" t="s">
        <v>5193</v>
      </c>
      <c r="B2142" s="5" t="s">
        <v>5194</v>
      </c>
      <c r="C2142" s="5" t="s">
        <v>34</v>
      </c>
      <c r="D2142" s="5" t="s">
        <v>35</v>
      </c>
      <c r="E2142" s="5" t="s">
        <v>654</v>
      </c>
      <c r="F2142" s="9">
        <v>94</v>
      </c>
      <c r="G2142" s="9">
        <v>1093</v>
      </c>
      <c r="H2142" s="5" t="s">
        <v>20</v>
      </c>
      <c r="I2142" s="5" t="s">
        <v>5195</v>
      </c>
      <c r="J2142" s="12" t="str">
        <f>HYPERLINK("https://www.boe.es/gazeta/dias/1807/10/20/pdfs/GMD-1807-94.pdf#page=9","Abrir facsímil")</f>
        <v>Abrir facsímil</v>
      </c>
      <c r="K2142" s="15" t="s">
        <v>22</v>
      </c>
    </row>
    <row r="2143" spans="1:11" ht="42" customHeight="1">
      <c r="A2143" s="4" t="s">
        <v>5196</v>
      </c>
      <c r="B2143" s="5" t="s">
        <v>5197</v>
      </c>
      <c r="C2143" s="5" t="s">
        <v>252</v>
      </c>
      <c r="D2143" s="5" t="s">
        <v>253</v>
      </c>
      <c r="E2143" s="5" t="s">
        <v>534</v>
      </c>
      <c r="F2143" s="9" t="s">
        <v>535</v>
      </c>
      <c r="G2143" s="9">
        <v>102</v>
      </c>
      <c r="H2143" s="5" t="s">
        <v>20</v>
      </c>
      <c r="I2143" s="5" t="s">
        <v>5198</v>
      </c>
      <c r="J2143" s="12" t="str">
        <f>HYPERLINK("https://www.boe.es/gazeta/dias/1807/01/24/pdfs/GMD-1807-9E.pdf#page=6","Abrir facsímil")</f>
        <v>Abrir facsímil</v>
      </c>
      <c r="K2143" s="15" t="s">
        <v>22</v>
      </c>
    </row>
    <row r="2144" spans="1:11" ht="42" customHeight="1">
      <c r="A2144" s="4" t="s">
        <v>5199</v>
      </c>
      <c r="B2144" s="5" t="s">
        <v>5199</v>
      </c>
      <c r="C2144" s="5" t="s">
        <v>34</v>
      </c>
      <c r="D2144" s="5" t="s">
        <v>35</v>
      </c>
      <c r="E2144" s="5" t="s">
        <v>595</v>
      </c>
      <c r="F2144" s="9">
        <v>59</v>
      </c>
      <c r="G2144" s="9">
        <v>703</v>
      </c>
      <c r="H2144" s="5" t="s">
        <v>20</v>
      </c>
      <c r="I2144" s="5" t="s">
        <v>5200</v>
      </c>
      <c r="J2144" s="12" t="str">
        <f>HYPERLINK("https://www.boe.es/gazeta/dias/1807/07/10/pdfs/GMD-1807-59.pdf#page=9","Abrir facsímil")</f>
        <v>Abrir facsímil</v>
      </c>
      <c r="K2144" s="15" t="s">
        <v>22</v>
      </c>
    </row>
    <row r="2145" spans="1:11" ht="42" customHeight="1">
      <c r="A2145" s="4" t="s">
        <v>5201</v>
      </c>
      <c r="B2145" s="5" t="s">
        <v>5201</v>
      </c>
      <c r="C2145" s="5" t="s">
        <v>49</v>
      </c>
      <c r="D2145" s="5" t="s">
        <v>50</v>
      </c>
      <c r="E2145" s="5" t="s">
        <v>361</v>
      </c>
      <c r="F2145" s="9">
        <v>113</v>
      </c>
      <c r="G2145" s="9">
        <v>1316</v>
      </c>
      <c r="H2145" s="5" t="s">
        <v>20</v>
      </c>
      <c r="I2145" s="5" t="s">
        <v>5202</v>
      </c>
      <c r="J2145" s="12" t="str">
        <f>HYPERLINK("https://www.boe.es/gazeta/dias/1807/12/22/pdfs/GMD-1807-113.pdf#page=4","Abrir facsímil")</f>
        <v>Abrir facsímil</v>
      </c>
      <c r="K2145" s="15" t="s">
        <v>22</v>
      </c>
    </row>
    <row r="2146" spans="1:11" ht="42" customHeight="1">
      <c r="A2146" s="4" t="s">
        <v>5203</v>
      </c>
      <c r="B2146" s="5" t="s">
        <v>5204</v>
      </c>
      <c r="C2146" s="5" t="s">
        <v>49</v>
      </c>
      <c r="D2146" s="5" t="s">
        <v>50</v>
      </c>
      <c r="E2146" s="5" t="s">
        <v>376</v>
      </c>
      <c r="F2146" s="9">
        <v>19</v>
      </c>
      <c r="G2146" s="9">
        <v>219</v>
      </c>
      <c r="H2146" s="5" t="s">
        <v>20</v>
      </c>
      <c r="I2146" s="5" t="s">
        <v>5205</v>
      </c>
      <c r="J2146" s="12" t="str">
        <f>HYPERLINK("https://www.boe.es/gazeta/dias/1807/02/27/pdfs/GMD-1807-19.pdf#page=3","Abrir facsímil")</f>
        <v>Abrir facsímil</v>
      </c>
      <c r="K2146" s="15" t="s">
        <v>22</v>
      </c>
    </row>
    <row r="2147" spans="1:11" ht="42" customHeight="1">
      <c r="A2147" s="4" t="s">
        <v>5206</v>
      </c>
      <c r="B2147" s="5" t="s">
        <v>5207</v>
      </c>
      <c r="C2147" s="5" t="s">
        <v>24</v>
      </c>
      <c r="D2147" s="5" t="s">
        <v>18</v>
      </c>
      <c r="E2147" s="5" t="s">
        <v>36</v>
      </c>
      <c r="F2147" s="9">
        <v>36</v>
      </c>
      <c r="G2147" s="9">
        <v>431</v>
      </c>
      <c r="H2147" s="5" t="s">
        <v>20</v>
      </c>
      <c r="I2147" s="5" t="s">
        <v>5208</v>
      </c>
      <c r="J2147" s="12" t="str">
        <f>HYPERLINK("https://www.boe.es/gazeta/dias/1807/04/24/pdfs/GMD-1807-36.pdf#page=11","Abrir facsímil")</f>
        <v>Abrir facsímil</v>
      </c>
      <c r="K2147" s="15" t="s">
        <v>22</v>
      </c>
    </row>
    <row r="2148" spans="1:11" ht="42" customHeight="1">
      <c r="A2148" s="4" t="s">
        <v>5209</v>
      </c>
      <c r="B2148" s="5" t="s">
        <v>5209</v>
      </c>
      <c r="C2148" s="5" t="s">
        <v>49</v>
      </c>
      <c r="D2148" s="5" t="s">
        <v>50</v>
      </c>
      <c r="E2148" s="5" t="s">
        <v>62</v>
      </c>
      <c r="F2148" s="9">
        <v>68</v>
      </c>
      <c r="G2148" s="9">
        <v>779</v>
      </c>
      <c r="H2148" s="5" t="s">
        <v>20</v>
      </c>
      <c r="I2148" s="5" t="s">
        <v>5210</v>
      </c>
      <c r="J2148" s="12" t="str">
        <f>HYPERLINK("https://www.boe.es/gazeta/dias/1807/07/31/pdfs/GMD-1807-68.pdf#page=3","Abrir facsímil")</f>
        <v>Abrir facsímil</v>
      </c>
      <c r="K2148" s="15" t="s">
        <v>22</v>
      </c>
    </row>
    <row r="2149" spans="1:11" ht="42" customHeight="1">
      <c r="A2149" s="4" t="s">
        <v>5209</v>
      </c>
      <c r="B2149" s="5" t="s">
        <v>5209</v>
      </c>
      <c r="C2149" s="5" t="s">
        <v>49</v>
      </c>
      <c r="D2149" s="5" t="s">
        <v>50</v>
      </c>
      <c r="E2149" s="5" t="s">
        <v>221</v>
      </c>
      <c r="F2149" s="9">
        <v>73</v>
      </c>
      <c r="G2149" s="9">
        <v>841</v>
      </c>
      <c r="H2149" s="5" t="s">
        <v>20</v>
      </c>
      <c r="I2149" s="5" t="s">
        <v>5211</v>
      </c>
      <c r="J2149" s="12" t="str">
        <f>HYPERLINK("https://www.boe.es/gazeta/dias/1807/08/14/pdfs/GMD-1807-73.pdf#page=5","Abrir facsímil")</f>
        <v>Abrir facsímil</v>
      </c>
      <c r="K2149" s="15" t="s">
        <v>22</v>
      </c>
    </row>
    <row r="2150" spans="1:11" ht="42" customHeight="1">
      <c r="A2150" s="4" t="s">
        <v>5212</v>
      </c>
      <c r="B2150" s="5" t="s">
        <v>5212</v>
      </c>
      <c r="C2150" s="5" t="s">
        <v>49</v>
      </c>
      <c r="D2150" s="5" t="s">
        <v>50</v>
      </c>
      <c r="E2150" s="5" t="s">
        <v>561</v>
      </c>
      <c r="F2150" s="9">
        <v>44</v>
      </c>
      <c r="G2150" s="9">
        <v>522</v>
      </c>
      <c r="H2150" s="5" t="s">
        <v>20</v>
      </c>
      <c r="I2150" s="5" t="s">
        <v>5213</v>
      </c>
      <c r="J2150" s="12" t="str">
        <f>HYPERLINK("https://www.boe.es/gazeta/dias/1807/05/22/pdfs/GMD-1807-44.pdf#page=4","Abrir facsímil")</f>
        <v>Abrir facsímil</v>
      </c>
      <c r="K2150" s="15" t="s">
        <v>22</v>
      </c>
    </row>
    <row r="2151" spans="1:11" ht="42" customHeight="1">
      <c r="A2151" s="4" t="s">
        <v>5212</v>
      </c>
      <c r="B2151" s="5" t="s">
        <v>5212</v>
      </c>
      <c r="C2151" s="5" t="s">
        <v>49</v>
      </c>
      <c r="D2151" s="5" t="s">
        <v>50</v>
      </c>
      <c r="E2151" s="5" t="s">
        <v>321</v>
      </c>
      <c r="F2151" s="9">
        <v>75</v>
      </c>
      <c r="G2151" s="9">
        <v>865</v>
      </c>
      <c r="H2151" s="5" t="s">
        <v>20</v>
      </c>
      <c r="I2151" s="5" t="s">
        <v>5214</v>
      </c>
      <c r="J2151" s="12" t="str">
        <f>HYPERLINK("https://www.boe.es/gazeta/dias/1807/08/21/pdfs/GMD-1807-75.pdf#page=5","Abrir facsímil")</f>
        <v>Abrir facsímil</v>
      </c>
      <c r="K2151" s="15" t="s">
        <v>22</v>
      </c>
    </row>
    <row r="2152" spans="1:11" ht="42" customHeight="1">
      <c r="A2152" s="4" t="s">
        <v>5212</v>
      </c>
      <c r="B2152" s="5" t="s">
        <v>5212</v>
      </c>
      <c r="C2152" s="5" t="s">
        <v>49</v>
      </c>
      <c r="D2152" s="5" t="s">
        <v>50</v>
      </c>
      <c r="E2152" s="5" t="s">
        <v>135</v>
      </c>
      <c r="F2152" s="9">
        <v>80</v>
      </c>
      <c r="G2152" s="9">
        <v>930</v>
      </c>
      <c r="H2152" s="5" t="s">
        <v>20</v>
      </c>
      <c r="I2152" s="5" t="s">
        <v>5215</v>
      </c>
      <c r="J2152" s="12" t="str">
        <f>HYPERLINK("https://www.boe.es/gazeta/dias/1807/09/08/pdfs/GMD-1807-80.pdf#page=6","Abrir facsímil")</f>
        <v>Abrir facsímil</v>
      </c>
      <c r="K2152" s="15" t="s">
        <v>22</v>
      </c>
    </row>
    <row r="2153" spans="1:11" ht="42" customHeight="1">
      <c r="A2153" s="4" t="s">
        <v>5212</v>
      </c>
      <c r="B2153" s="5" t="s">
        <v>5212</v>
      </c>
      <c r="C2153" s="5" t="s">
        <v>49</v>
      </c>
      <c r="D2153" s="5" t="s">
        <v>50</v>
      </c>
      <c r="E2153" s="5" t="s">
        <v>135</v>
      </c>
      <c r="F2153" s="9">
        <v>80</v>
      </c>
      <c r="G2153" s="9">
        <v>931</v>
      </c>
      <c r="H2153" s="5" t="s">
        <v>20</v>
      </c>
      <c r="I2153" s="5" t="s">
        <v>5216</v>
      </c>
      <c r="J2153" s="12" t="str">
        <f>HYPERLINK("https://www.boe.es/gazeta/dias/1807/09/08/pdfs/GMD-1807-80.pdf#page=7","Abrir facsímil")</f>
        <v>Abrir facsímil</v>
      </c>
      <c r="K2153" s="15" t="s">
        <v>22</v>
      </c>
    </row>
    <row r="2154" spans="1:11" ht="42" customHeight="1">
      <c r="A2154" s="4" t="s">
        <v>5217</v>
      </c>
      <c r="B2154" s="5" t="s">
        <v>5218</v>
      </c>
      <c r="C2154" s="5" t="s">
        <v>34</v>
      </c>
      <c r="D2154" s="5" t="s">
        <v>35</v>
      </c>
      <c r="E2154" s="5" t="s">
        <v>319</v>
      </c>
      <c r="F2154" s="9">
        <v>54</v>
      </c>
      <c r="G2154" s="9">
        <v>645</v>
      </c>
      <c r="H2154" s="5" t="s">
        <v>20</v>
      </c>
      <c r="I2154" s="5" t="s">
        <v>5219</v>
      </c>
      <c r="J2154" s="12" t="str">
        <f>HYPERLINK("https://www.boe.es/gazeta/dias/1807/06/26/pdfs/GMD-1807-54.pdf#page=7","Abrir facsímil")</f>
        <v>Abrir facsímil</v>
      </c>
      <c r="K2154" s="15" t="s">
        <v>22</v>
      </c>
    </row>
    <row r="2155" spans="1:11" ht="42" customHeight="1">
      <c r="A2155" s="4" t="s">
        <v>5220</v>
      </c>
      <c r="B2155" s="5" t="s">
        <v>5221</v>
      </c>
      <c r="C2155" s="5" t="s">
        <v>28</v>
      </c>
      <c r="D2155" s="5" t="s">
        <v>29</v>
      </c>
      <c r="E2155" s="5" t="s">
        <v>156</v>
      </c>
      <c r="F2155" s="9">
        <v>74</v>
      </c>
      <c r="G2155" s="9">
        <v>856</v>
      </c>
      <c r="H2155" s="5" t="s">
        <v>20</v>
      </c>
      <c r="I2155" s="5" t="s">
        <v>5222</v>
      </c>
      <c r="J2155" s="12" t="str">
        <f>HYPERLINK("https://www.boe.es/gazeta/dias/1807/08/18/pdfs/GMD-1807-74.pdf#page=8","Abrir facsímil")</f>
        <v>Abrir facsímil</v>
      </c>
      <c r="K2155" s="15" t="s">
        <v>22</v>
      </c>
    </row>
    <row r="2156" spans="1:11" ht="42" customHeight="1">
      <c r="A2156" s="4" t="s">
        <v>5223</v>
      </c>
      <c r="B2156" s="5" t="s">
        <v>5224</v>
      </c>
      <c r="C2156" s="5" t="s">
        <v>28</v>
      </c>
      <c r="D2156" s="5" t="s">
        <v>29</v>
      </c>
      <c r="E2156" s="5" t="s">
        <v>139</v>
      </c>
      <c r="F2156" s="9">
        <v>110</v>
      </c>
      <c r="G2156" s="9">
        <v>1287</v>
      </c>
      <c r="H2156" s="5" t="s">
        <v>20</v>
      </c>
      <c r="I2156" s="5" t="s">
        <v>5225</v>
      </c>
      <c r="J2156" s="12" t="str">
        <f>HYPERLINK("https://www.boe.es/gazeta/dias/1807/12/11/pdfs/GMD-1807-110.pdf#page=11","Abrir facsímil")</f>
        <v>Abrir facsímil</v>
      </c>
      <c r="K2156" s="15" t="s">
        <v>22</v>
      </c>
    </row>
    <row r="2157" spans="1:11" ht="42" customHeight="1">
      <c r="A2157" s="4" t="s">
        <v>5226</v>
      </c>
      <c r="B2157" s="5" t="s">
        <v>5226</v>
      </c>
      <c r="C2157" s="5" t="s">
        <v>28</v>
      </c>
      <c r="D2157" s="5" t="s">
        <v>29</v>
      </c>
      <c r="E2157" s="5" t="s">
        <v>266</v>
      </c>
      <c r="F2157" s="9">
        <v>67</v>
      </c>
      <c r="G2157" s="9">
        <v>772</v>
      </c>
      <c r="H2157" s="5" t="s">
        <v>20</v>
      </c>
      <c r="I2157" s="5" t="s">
        <v>5227</v>
      </c>
      <c r="J2157" s="12" t="str">
        <f>HYPERLINK("https://www.boe.es/gazeta/dias/1807/07/28/pdfs/GMD-1807-67.pdf#page=8","Abrir facsímil")</f>
        <v>Abrir facsímil</v>
      </c>
      <c r="K2157" s="15" t="s">
        <v>22</v>
      </c>
    </row>
    <row r="2158" spans="1:11" ht="42" customHeight="1">
      <c r="A2158" s="4" t="s">
        <v>5228</v>
      </c>
      <c r="B2158" s="5" t="s">
        <v>5228</v>
      </c>
      <c r="C2158" s="5" t="s">
        <v>49</v>
      </c>
      <c r="D2158" s="5" t="s">
        <v>50</v>
      </c>
      <c r="E2158" s="5" t="s">
        <v>190</v>
      </c>
      <c r="F2158" s="9">
        <v>37</v>
      </c>
      <c r="G2158" s="9">
        <v>436</v>
      </c>
      <c r="H2158" s="5" t="s">
        <v>20</v>
      </c>
      <c r="I2158" s="5" t="s">
        <v>5229</v>
      </c>
      <c r="J2158" s="12" t="str">
        <f>HYPERLINK("https://www.boe.es/gazeta/dias/1807/04/28/pdfs/GMD-1807-37.pdf#page=4","Abrir facsímil")</f>
        <v>Abrir facsímil</v>
      </c>
      <c r="K2158" s="15" t="s">
        <v>22</v>
      </c>
    </row>
    <row r="2159" spans="1:11" ht="42" customHeight="1">
      <c r="A2159" s="4" t="s">
        <v>5230</v>
      </c>
      <c r="B2159" s="5" t="s">
        <v>5231</v>
      </c>
      <c r="C2159" s="5" t="s">
        <v>28</v>
      </c>
      <c r="D2159" s="5" t="s">
        <v>29</v>
      </c>
      <c r="E2159" s="5" t="s">
        <v>183</v>
      </c>
      <c r="F2159" s="9">
        <v>1</v>
      </c>
      <c r="G2159" s="9">
        <v>10</v>
      </c>
      <c r="H2159" s="5" t="s">
        <v>20</v>
      </c>
      <c r="I2159" s="5" t="s">
        <v>5232</v>
      </c>
      <c r="J2159" s="12" t="str">
        <f>HYPERLINK("https://www.boe.es/gazeta/dias/1807/01/02/pdfs/GMD-1807-1.pdf#page=10","Abrir facsímil")</f>
        <v>Abrir facsímil</v>
      </c>
      <c r="K2159" s="15" t="s">
        <v>22</v>
      </c>
    </row>
    <row r="2160" spans="1:11" ht="42" customHeight="1">
      <c r="A2160" s="4" t="s">
        <v>5233</v>
      </c>
      <c r="B2160" s="5" t="s">
        <v>5234</v>
      </c>
      <c r="C2160" s="5" t="s">
        <v>34</v>
      </c>
      <c r="D2160" s="5" t="s">
        <v>35</v>
      </c>
      <c r="E2160" s="5" t="s">
        <v>3230</v>
      </c>
      <c r="F2160" s="9">
        <v>27</v>
      </c>
      <c r="G2160" s="9">
        <v>323</v>
      </c>
      <c r="H2160" s="5" t="s">
        <v>20</v>
      </c>
      <c r="I2160" s="5" t="s">
        <v>5235</v>
      </c>
      <c r="J2160" s="12" t="str">
        <f>HYPERLINK("https://www.boe.es/gazeta/dias/1807/03/24/pdfs/GMD-1807-27.pdf#page=7","Abrir facsímil")</f>
        <v>Abrir facsímil</v>
      </c>
      <c r="K2160" s="15" t="s">
        <v>22</v>
      </c>
    </row>
    <row r="2161" spans="1:11" ht="42" customHeight="1">
      <c r="A2161" s="4" t="s">
        <v>5233</v>
      </c>
      <c r="B2161" s="5" t="s">
        <v>5234</v>
      </c>
      <c r="C2161" s="5" t="s">
        <v>49</v>
      </c>
      <c r="D2161" s="5" t="s">
        <v>50</v>
      </c>
      <c r="E2161" s="5" t="s">
        <v>81</v>
      </c>
      <c r="F2161" s="9">
        <v>49</v>
      </c>
      <c r="G2161" s="9">
        <v>576</v>
      </c>
      <c r="H2161" s="5" t="s">
        <v>20</v>
      </c>
      <c r="I2161" s="5" t="s">
        <v>5236</v>
      </c>
      <c r="J2161" s="12" t="str">
        <f>HYPERLINK("https://www.boe.es/gazeta/dias/1807/06/09/pdfs/GMD-1807-49.pdf#page=2","Abrir facsímil")</f>
        <v>Abrir facsímil</v>
      </c>
      <c r="K2161" s="15" t="s">
        <v>22</v>
      </c>
    </row>
    <row r="2162" spans="1:11" ht="42" customHeight="1">
      <c r="A2162" s="4" t="s">
        <v>5237</v>
      </c>
      <c r="B2162" s="5" t="s">
        <v>5238</v>
      </c>
      <c r="C2162" s="5" t="s">
        <v>49</v>
      </c>
      <c r="D2162" s="5" t="s">
        <v>50</v>
      </c>
      <c r="E2162" s="5" t="s">
        <v>79</v>
      </c>
      <c r="F2162" s="9">
        <v>11</v>
      </c>
      <c r="G2162" s="9">
        <v>117</v>
      </c>
      <c r="H2162" s="5" t="s">
        <v>20</v>
      </c>
      <c r="I2162" s="5" t="s">
        <v>5239</v>
      </c>
      <c r="J2162" s="12" t="str">
        <f>HYPERLINK("https://www.boe.es/gazeta/dias/1807/01/30/pdfs/GMD-1807-11.pdf#page=1","Abrir facsímil")</f>
        <v>Abrir facsímil</v>
      </c>
      <c r="K2162" s="15" t="s">
        <v>22</v>
      </c>
    </row>
    <row r="2163" spans="1:11" ht="42" customHeight="1">
      <c r="A2163" s="4" t="s">
        <v>5240</v>
      </c>
      <c r="B2163" s="5" t="s">
        <v>5240</v>
      </c>
      <c r="C2163" s="5" t="s">
        <v>49</v>
      </c>
      <c r="D2163" s="5" t="s">
        <v>50</v>
      </c>
      <c r="E2163" s="5" t="s">
        <v>176</v>
      </c>
      <c r="F2163" s="9">
        <v>17</v>
      </c>
      <c r="G2163" s="9">
        <v>192</v>
      </c>
      <c r="H2163" s="5" t="s">
        <v>20</v>
      </c>
      <c r="I2163" s="5" t="s">
        <v>5241</v>
      </c>
      <c r="J2163" s="12" t="str">
        <f>HYPERLINK("https://www.boe.es/gazeta/dias/1807/02/20/pdfs/GMD-1807-17.pdf#page=4","Abrir facsímil")</f>
        <v>Abrir facsímil</v>
      </c>
      <c r="K2163" s="15" t="s">
        <v>22</v>
      </c>
    </row>
    <row r="2164" spans="1:11" ht="42" customHeight="1">
      <c r="A2164" s="4" t="s">
        <v>5242</v>
      </c>
      <c r="B2164" s="5" t="s">
        <v>5242</v>
      </c>
      <c r="C2164" s="5" t="s">
        <v>28</v>
      </c>
      <c r="D2164" s="5" t="s">
        <v>29</v>
      </c>
      <c r="E2164" s="5" t="s">
        <v>98</v>
      </c>
      <c r="F2164" s="9">
        <v>34</v>
      </c>
      <c r="G2164" s="9">
        <v>401</v>
      </c>
      <c r="H2164" s="5" t="s">
        <v>20</v>
      </c>
      <c r="I2164" s="5" t="s">
        <v>5243</v>
      </c>
      <c r="J2164" s="12" t="str">
        <f>HYPERLINK("https://www.boe.es/gazeta/dias/1807/04/17/pdfs/GMD-1807-34.pdf#page=5","Abrir facsímil")</f>
        <v>Abrir facsímil</v>
      </c>
      <c r="K2164" s="15" t="s">
        <v>22</v>
      </c>
    </row>
    <row r="2165" spans="1:11" ht="42" customHeight="1">
      <c r="A2165" s="4" t="s">
        <v>5244</v>
      </c>
      <c r="B2165" s="5" t="s">
        <v>5244</v>
      </c>
      <c r="C2165" s="5" t="s">
        <v>28</v>
      </c>
      <c r="D2165" s="5" t="s">
        <v>29</v>
      </c>
      <c r="E2165" s="5" t="s">
        <v>418</v>
      </c>
      <c r="F2165" s="9">
        <v>4</v>
      </c>
      <c r="G2165" s="9">
        <v>41</v>
      </c>
      <c r="H2165" s="5" t="s">
        <v>20</v>
      </c>
      <c r="I2165" s="5" t="s">
        <v>5245</v>
      </c>
      <c r="J2165" s="12" t="str">
        <f>HYPERLINK("https://www.boe.es/gazeta/dias/1807/01/13/pdfs/GMD-1807-4.pdf#page=9","Abrir facsímil")</f>
        <v>Abrir facsímil</v>
      </c>
      <c r="K2165" s="15" t="s">
        <v>22</v>
      </c>
    </row>
    <row r="2166" spans="1:11" ht="42" customHeight="1">
      <c r="A2166" s="4" t="s">
        <v>5246</v>
      </c>
      <c r="B2166" s="5" t="s">
        <v>5247</v>
      </c>
      <c r="C2166" s="5" t="s">
        <v>28</v>
      </c>
      <c r="D2166" s="5" t="s">
        <v>29</v>
      </c>
      <c r="E2166" s="5" t="s">
        <v>561</v>
      </c>
      <c r="F2166" s="9">
        <v>44</v>
      </c>
      <c r="G2166" s="9">
        <v>530</v>
      </c>
      <c r="H2166" s="5" t="s">
        <v>20</v>
      </c>
      <c r="I2166" s="5" t="s">
        <v>5248</v>
      </c>
      <c r="J2166" s="12" t="str">
        <f>HYPERLINK("https://www.boe.es/gazeta/dias/1807/05/22/pdfs/GMD-1807-44.pdf#page=12","Abrir facsímil")</f>
        <v>Abrir facsímil</v>
      </c>
      <c r="K2166" s="15" t="s">
        <v>22</v>
      </c>
    </row>
    <row r="2167" spans="1:11" ht="42" customHeight="1">
      <c r="A2167" s="4" t="s">
        <v>5249</v>
      </c>
      <c r="B2167" s="5" t="s">
        <v>5250</v>
      </c>
      <c r="C2167" s="5" t="s">
        <v>34</v>
      </c>
      <c r="D2167" s="5" t="s">
        <v>35</v>
      </c>
      <c r="E2167" s="5" t="s">
        <v>109</v>
      </c>
      <c r="F2167" s="9">
        <v>58</v>
      </c>
      <c r="G2167" s="9">
        <v>688</v>
      </c>
      <c r="H2167" s="5" t="s">
        <v>20</v>
      </c>
      <c r="I2167" s="5" t="s">
        <v>5251</v>
      </c>
      <c r="J2167" s="12" t="str">
        <f>HYPERLINK("https://www.boe.es/gazeta/dias/1807/07/07/pdfs/GMD-1807-58.pdf#page=6","Abrir facsímil")</f>
        <v>Abrir facsímil</v>
      </c>
      <c r="K2167" s="15" t="s">
        <v>22</v>
      </c>
    </row>
    <row r="2168" spans="1:11" ht="42" customHeight="1">
      <c r="A2168" s="4" t="s">
        <v>5252</v>
      </c>
      <c r="B2168" s="5" t="s">
        <v>5252</v>
      </c>
      <c r="C2168" s="5" t="s">
        <v>252</v>
      </c>
      <c r="D2168" s="5" t="s">
        <v>253</v>
      </c>
      <c r="E2168" s="5" t="s">
        <v>4686</v>
      </c>
      <c r="F2168" s="9" t="s">
        <v>4687</v>
      </c>
      <c r="G2168" s="9">
        <v>712</v>
      </c>
      <c r="H2168" s="5" t="s">
        <v>20</v>
      </c>
      <c r="I2168" s="5" t="s">
        <v>5253</v>
      </c>
      <c r="J2168" s="12" t="str">
        <f>HYPERLINK("https://www.boe.es/gazeta/dias/1807/07/13/pdfs/GMD-1807-60E.pdf#page=6","Abrir facsímil")</f>
        <v>Abrir facsímil</v>
      </c>
      <c r="K2168" s="15" t="s">
        <v>22</v>
      </c>
    </row>
    <row r="2169" spans="1:11" ht="42" customHeight="1">
      <c r="A2169" s="4" t="s">
        <v>5254</v>
      </c>
      <c r="B2169" s="5" t="s">
        <v>5255</v>
      </c>
      <c r="C2169" s="5" t="s">
        <v>34</v>
      </c>
      <c r="D2169" s="5" t="s">
        <v>35</v>
      </c>
      <c r="E2169" s="5" t="s">
        <v>19</v>
      </c>
      <c r="F2169" s="9">
        <v>41</v>
      </c>
      <c r="G2169" s="9">
        <v>489</v>
      </c>
      <c r="H2169" s="5" t="s">
        <v>20</v>
      </c>
      <c r="I2169" s="5" t="s">
        <v>5256</v>
      </c>
      <c r="J2169" s="12" t="str">
        <f>HYPERLINK("https://www.boe.es/gazeta/dias/1807/05/12/pdfs/GMD-1807-41.pdf#page=7","Abrir facsímil")</f>
        <v>Abrir facsímil</v>
      </c>
      <c r="K2169" s="15" t="s">
        <v>22</v>
      </c>
    </row>
    <row r="2170" spans="1:11" ht="42" customHeight="1">
      <c r="A2170" s="4" t="s">
        <v>5257</v>
      </c>
      <c r="B2170" s="5" t="s">
        <v>5258</v>
      </c>
      <c r="C2170" s="5" t="s">
        <v>89</v>
      </c>
      <c r="D2170" s="5" t="s">
        <v>90</v>
      </c>
      <c r="E2170" s="5" t="s">
        <v>346</v>
      </c>
      <c r="F2170" s="9">
        <v>21</v>
      </c>
      <c r="G2170" s="9">
        <v>246</v>
      </c>
      <c r="H2170" s="5" t="s">
        <v>20</v>
      </c>
      <c r="I2170" s="5" t="s">
        <v>5259</v>
      </c>
      <c r="J2170" s="12" t="str">
        <f>HYPERLINK("https://www.boe.es/gazeta/dias/1807/03/03/pdfs/GMD-1807-21.pdf#page=10","Abrir facsímil")</f>
        <v>Abrir facsímil</v>
      </c>
      <c r="K2170" s="15" t="s">
        <v>22</v>
      </c>
    </row>
    <row r="2171" spans="1:11" ht="42" customHeight="1">
      <c r="A2171" s="4" t="s">
        <v>5257</v>
      </c>
      <c r="B2171" s="5" t="s">
        <v>5258</v>
      </c>
      <c r="C2171" s="5" t="s">
        <v>24</v>
      </c>
      <c r="D2171" s="5" t="s">
        <v>18</v>
      </c>
      <c r="E2171" s="5" t="s">
        <v>595</v>
      </c>
      <c r="F2171" s="9">
        <v>59</v>
      </c>
      <c r="G2171" s="9">
        <v>703</v>
      </c>
      <c r="H2171" s="5" t="s">
        <v>20</v>
      </c>
      <c r="I2171" s="5" t="s">
        <v>5260</v>
      </c>
      <c r="J2171" s="12" t="str">
        <f>HYPERLINK("https://www.boe.es/gazeta/dias/1807/07/10/pdfs/GMD-1807-59.pdf#page=9","Abrir facsímil")</f>
        <v>Abrir facsímil</v>
      </c>
      <c r="K2171" s="15" t="s">
        <v>22</v>
      </c>
    </row>
    <row r="2172" spans="1:11" ht="42" customHeight="1">
      <c r="A2172" s="4" t="s">
        <v>5257</v>
      </c>
      <c r="B2172" s="5" t="s">
        <v>5258</v>
      </c>
      <c r="C2172" s="5" t="s">
        <v>24</v>
      </c>
      <c r="D2172" s="5" t="s">
        <v>18</v>
      </c>
      <c r="E2172" s="5" t="s">
        <v>152</v>
      </c>
      <c r="F2172" s="9">
        <v>61</v>
      </c>
      <c r="G2172" s="9">
        <v>722</v>
      </c>
      <c r="H2172" s="5" t="s">
        <v>20</v>
      </c>
      <c r="I2172" s="5" t="s">
        <v>5261</v>
      </c>
      <c r="J2172" s="12" t="str">
        <f>HYPERLINK("https://www.boe.es/gazeta/dias/1807/07/14/pdfs/GMD-1807-61.pdf#page=8","Abrir facsímil")</f>
        <v>Abrir facsímil</v>
      </c>
      <c r="K2172" s="15" t="s">
        <v>22</v>
      </c>
    </row>
    <row r="2173" spans="1:11" ht="42" customHeight="1">
      <c r="A2173" s="4" t="s">
        <v>5262</v>
      </c>
      <c r="B2173" s="5" t="s">
        <v>5263</v>
      </c>
      <c r="C2173" s="5" t="s">
        <v>24</v>
      </c>
      <c r="D2173" s="5" t="s">
        <v>18</v>
      </c>
      <c r="E2173" s="5" t="s">
        <v>505</v>
      </c>
      <c r="F2173" s="9">
        <v>47</v>
      </c>
      <c r="G2173" s="9">
        <v>561</v>
      </c>
      <c r="H2173" s="5" t="s">
        <v>20</v>
      </c>
      <c r="I2173" s="5" t="s">
        <v>5264</v>
      </c>
      <c r="J2173" s="12" t="str">
        <f>HYPERLINK("https://www.boe.es/gazeta/dias/1807/06/02/pdfs/GMD-1807-47.pdf#page=7","Abrir facsímil")</f>
        <v>Abrir facsímil</v>
      </c>
      <c r="K2173" s="15" t="s">
        <v>22</v>
      </c>
    </row>
    <row r="2174" spans="1:11" ht="42" customHeight="1">
      <c r="A2174" s="4" t="s">
        <v>5265</v>
      </c>
      <c r="B2174" s="5" t="s">
        <v>5266</v>
      </c>
      <c r="C2174" s="5" t="s">
        <v>28</v>
      </c>
      <c r="D2174" s="5" t="s">
        <v>29</v>
      </c>
      <c r="E2174" s="5" t="s">
        <v>319</v>
      </c>
      <c r="F2174" s="9">
        <v>54</v>
      </c>
      <c r="G2174" s="9">
        <v>645</v>
      </c>
      <c r="H2174" s="5" t="s">
        <v>20</v>
      </c>
      <c r="I2174" s="5" t="s">
        <v>5267</v>
      </c>
      <c r="J2174" s="12" t="str">
        <f>HYPERLINK("https://www.boe.es/gazeta/dias/1807/06/26/pdfs/GMD-1807-54.pdf#page=7","Abrir facsímil")</f>
        <v>Abrir facsímil</v>
      </c>
      <c r="K2174" s="15" t="s">
        <v>22</v>
      </c>
    </row>
    <row r="2175" spans="1:11" ht="42" customHeight="1">
      <c r="A2175" s="4" t="s">
        <v>5268</v>
      </c>
      <c r="B2175" s="5" t="s">
        <v>5269</v>
      </c>
      <c r="C2175" s="5" t="s">
        <v>34</v>
      </c>
      <c r="D2175" s="5" t="s">
        <v>35</v>
      </c>
      <c r="E2175" s="5" t="s">
        <v>620</v>
      </c>
      <c r="F2175" s="9">
        <v>84</v>
      </c>
      <c r="G2175" s="9">
        <v>981</v>
      </c>
      <c r="H2175" s="5" t="s">
        <v>20</v>
      </c>
      <c r="I2175" s="5" t="s">
        <v>5270</v>
      </c>
      <c r="J2175" s="12" t="str">
        <f>HYPERLINK("https://www.boe.es/gazeta/dias/1807/09/22/pdfs/GMD-1807-84.pdf#page=9","Abrir facsímil")</f>
        <v>Abrir facsímil</v>
      </c>
      <c r="K2175" s="15" t="s">
        <v>22</v>
      </c>
    </row>
    <row r="2176" spans="1:11" ht="42" customHeight="1">
      <c r="A2176" s="4" t="s">
        <v>5271</v>
      </c>
      <c r="B2176" s="5" t="s">
        <v>5272</v>
      </c>
      <c r="C2176" s="5" t="s">
        <v>24</v>
      </c>
      <c r="D2176" s="5" t="s">
        <v>18</v>
      </c>
      <c r="E2176" s="5" t="s">
        <v>98</v>
      </c>
      <c r="F2176" s="9">
        <v>34</v>
      </c>
      <c r="G2176" s="9">
        <v>404</v>
      </c>
      <c r="H2176" s="5" t="s">
        <v>20</v>
      </c>
      <c r="I2176" s="5" t="s">
        <v>5273</v>
      </c>
      <c r="J2176" s="12" t="str">
        <f>HYPERLINK("https://www.boe.es/gazeta/dias/1807/04/17/pdfs/GMD-1807-34.pdf#page=8","Abrir facsímil")</f>
        <v>Abrir facsímil</v>
      </c>
      <c r="K2176" s="15" t="s">
        <v>22</v>
      </c>
    </row>
    <row r="2177" spans="1:11" ht="42" customHeight="1">
      <c r="A2177" s="4" t="s">
        <v>5274</v>
      </c>
      <c r="B2177" s="5" t="s">
        <v>5275</v>
      </c>
      <c r="C2177" s="5" t="s">
        <v>34</v>
      </c>
      <c r="D2177" s="5" t="s">
        <v>35</v>
      </c>
      <c r="E2177" s="5" t="s">
        <v>471</v>
      </c>
      <c r="F2177" s="9">
        <v>51</v>
      </c>
      <c r="G2177" s="9">
        <v>605</v>
      </c>
      <c r="H2177" s="5" t="s">
        <v>20</v>
      </c>
      <c r="I2177" s="5" t="s">
        <v>5276</v>
      </c>
      <c r="J2177" s="12" t="str">
        <f>HYPERLINK("https://www.boe.es/gazeta/dias/1807/06/16/pdfs/GMD-1807-51.pdf#page=7","Abrir facsímil")</f>
        <v>Abrir facsímil</v>
      </c>
      <c r="K2177" s="15" t="s">
        <v>22</v>
      </c>
    </row>
    <row r="2178" spans="1:11" ht="42" customHeight="1">
      <c r="A2178" s="4" t="s">
        <v>5277</v>
      </c>
      <c r="B2178" s="5" t="s">
        <v>5277</v>
      </c>
      <c r="C2178" s="5" t="s">
        <v>28</v>
      </c>
      <c r="D2178" s="5" t="s">
        <v>29</v>
      </c>
      <c r="E2178" s="5" t="s">
        <v>507</v>
      </c>
      <c r="F2178" s="9">
        <v>48</v>
      </c>
      <c r="G2178" s="9">
        <v>570</v>
      </c>
      <c r="H2178" s="5" t="s">
        <v>20</v>
      </c>
      <c r="I2178" s="5" t="s">
        <v>5278</v>
      </c>
      <c r="J2178" s="12" t="str">
        <f>HYPERLINK("https://www.boe.es/gazeta/dias/1807/06/05/pdfs/GMD-1807-48.pdf#page=8","Abrir facsímil")</f>
        <v>Abrir facsímil</v>
      </c>
      <c r="K2178" s="15" t="s">
        <v>22</v>
      </c>
    </row>
    <row r="2179" spans="1:11" ht="42" customHeight="1">
      <c r="A2179" s="4" t="s">
        <v>5277</v>
      </c>
      <c r="B2179" s="5" t="s">
        <v>5277</v>
      </c>
      <c r="C2179" s="5" t="s">
        <v>89</v>
      </c>
      <c r="D2179" s="5" t="s">
        <v>90</v>
      </c>
      <c r="E2179" s="5" t="s">
        <v>461</v>
      </c>
      <c r="F2179" s="9">
        <v>99</v>
      </c>
      <c r="G2179" s="9">
        <v>1156</v>
      </c>
      <c r="H2179" s="5" t="s">
        <v>20</v>
      </c>
      <c r="I2179" s="5" t="s">
        <v>5279</v>
      </c>
      <c r="J2179" s="12" t="str">
        <f>HYPERLINK("https://www.boe.es/gazeta/dias/1807/11/06/pdfs/GMD-1807-99.pdf#page=12","Abrir facsímil")</f>
        <v>Abrir facsímil</v>
      </c>
      <c r="K2179" s="15" t="s">
        <v>22</v>
      </c>
    </row>
    <row r="2180" spans="1:11" ht="42" customHeight="1">
      <c r="A2180" s="4" t="s">
        <v>5280</v>
      </c>
      <c r="B2180" s="5" t="s">
        <v>5280</v>
      </c>
      <c r="C2180" s="5" t="s">
        <v>49</v>
      </c>
      <c r="D2180" s="5" t="s">
        <v>50</v>
      </c>
      <c r="E2180" s="5" t="s">
        <v>793</v>
      </c>
      <c r="F2180" s="9">
        <v>87</v>
      </c>
      <c r="G2180" s="9">
        <v>1006</v>
      </c>
      <c r="H2180" s="5" t="s">
        <v>20</v>
      </c>
      <c r="I2180" s="5" t="s">
        <v>5281</v>
      </c>
      <c r="J2180" s="12" t="str">
        <f>HYPERLINK("https://www.boe.es/gazeta/dias/1807/09/29/pdfs/GMD-1807-87.pdf#page=6","Abrir facsímil")</f>
        <v>Abrir facsímil</v>
      </c>
      <c r="K2180" s="15" t="s">
        <v>22</v>
      </c>
    </row>
    <row r="2181" spans="1:11" ht="42" customHeight="1">
      <c r="A2181" s="4" t="s">
        <v>5282</v>
      </c>
      <c r="B2181" s="5" t="s">
        <v>5283</v>
      </c>
      <c r="C2181" s="5" t="s">
        <v>28</v>
      </c>
      <c r="D2181" s="5" t="s">
        <v>29</v>
      </c>
      <c r="E2181" s="5" t="s">
        <v>282</v>
      </c>
      <c r="F2181" s="9">
        <v>16</v>
      </c>
      <c r="G2181" s="9">
        <v>185</v>
      </c>
      <c r="H2181" s="5" t="s">
        <v>20</v>
      </c>
      <c r="I2181" s="5" t="s">
        <v>5284</v>
      </c>
      <c r="J2181" s="12" t="str">
        <f>HYPERLINK("https://www.boe.es/gazeta/dias/1807/02/17/pdfs/GMD-1807-16.pdf#page=9","Abrir facsímil")</f>
        <v>Abrir facsímil</v>
      </c>
      <c r="K2181" s="15" t="s">
        <v>22</v>
      </c>
    </row>
    <row r="2182" spans="1:11" ht="42" customHeight="1">
      <c r="A2182" s="4" t="s">
        <v>5285</v>
      </c>
      <c r="B2182" s="5" t="s">
        <v>5286</v>
      </c>
      <c r="C2182" s="5" t="s">
        <v>49</v>
      </c>
      <c r="D2182" s="5" t="s">
        <v>50</v>
      </c>
      <c r="E2182" s="5" t="s">
        <v>114</v>
      </c>
      <c r="F2182" s="9">
        <v>46</v>
      </c>
      <c r="G2182" s="9">
        <v>544</v>
      </c>
      <c r="H2182" s="5" t="s">
        <v>20</v>
      </c>
      <c r="I2182" s="5" t="s">
        <v>5287</v>
      </c>
      <c r="J2182" s="12" t="str">
        <f>HYPERLINK("https://www.boe.es/gazeta/dias/1807/05/29/pdfs/GMD-1807-46.pdf#page=2","Abrir facsímil")</f>
        <v>Abrir facsímil</v>
      </c>
      <c r="K2182" s="15" t="s">
        <v>22</v>
      </c>
    </row>
    <row r="2183" spans="1:11" ht="42" customHeight="1">
      <c r="A2183" s="4" t="s">
        <v>5288</v>
      </c>
      <c r="B2183" s="5" t="s">
        <v>5288</v>
      </c>
      <c r="C2183" s="5" t="s">
        <v>34</v>
      </c>
      <c r="D2183" s="5" t="s">
        <v>35</v>
      </c>
      <c r="E2183" s="5" t="s">
        <v>106</v>
      </c>
      <c r="F2183" s="9">
        <v>39</v>
      </c>
      <c r="G2183" s="9">
        <v>465</v>
      </c>
      <c r="H2183" s="5" t="s">
        <v>20</v>
      </c>
      <c r="I2183" s="5" t="s">
        <v>5289</v>
      </c>
      <c r="J2183" s="12" t="str">
        <f>HYPERLINK("https://www.boe.es/gazeta/dias/1807/05/05/pdfs/GMD-1807-39.pdf#page=7","Abrir facsímil")</f>
        <v>Abrir facsímil</v>
      </c>
      <c r="K2183" s="15" t="s">
        <v>22</v>
      </c>
    </row>
    <row r="2184" spans="1:11" ht="42" customHeight="1">
      <c r="A2184" s="4" t="s">
        <v>5290</v>
      </c>
      <c r="B2184" s="5" t="s">
        <v>5290</v>
      </c>
      <c r="C2184" s="5" t="s">
        <v>28</v>
      </c>
      <c r="D2184" s="5" t="s">
        <v>29</v>
      </c>
      <c r="E2184" s="5" t="s">
        <v>76</v>
      </c>
      <c r="F2184" s="9">
        <v>7</v>
      </c>
      <c r="G2184" s="9">
        <v>79</v>
      </c>
      <c r="H2184" s="5" t="s">
        <v>20</v>
      </c>
      <c r="I2184" s="5" t="s">
        <v>5291</v>
      </c>
      <c r="J2184" s="12" t="str">
        <f>HYPERLINK("https://www.boe.es/gazeta/dias/1807/01/20/pdfs/GMD-1807-7.pdf#page=11","Abrir facsímil")</f>
        <v>Abrir facsímil</v>
      </c>
      <c r="K2184" s="15" t="s">
        <v>22</v>
      </c>
    </row>
    <row r="2185" spans="1:11" ht="42" customHeight="1">
      <c r="A2185" s="4" t="s">
        <v>5292</v>
      </c>
      <c r="B2185" s="5" t="s">
        <v>5293</v>
      </c>
      <c r="C2185" s="5" t="s">
        <v>89</v>
      </c>
      <c r="D2185" s="5" t="s">
        <v>90</v>
      </c>
      <c r="E2185" s="5" t="s">
        <v>135</v>
      </c>
      <c r="F2185" s="9">
        <v>80</v>
      </c>
      <c r="G2185" s="9">
        <v>927</v>
      </c>
      <c r="H2185" s="5" t="s">
        <v>20</v>
      </c>
      <c r="I2185" s="5" t="s">
        <v>5294</v>
      </c>
      <c r="J2185" s="12" t="str">
        <f>HYPERLINK("https://www.boe.es/gazeta/dias/1807/09/08/pdfs/GMD-1807-80.pdf#page=3","Abrir facsímil")</f>
        <v>Abrir facsímil</v>
      </c>
      <c r="K2185" s="15" t="s">
        <v>22</v>
      </c>
    </row>
    <row r="2186" spans="1:11" ht="42" customHeight="1">
      <c r="A2186" s="4" t="s">
        <v>5295</v>
      </c>
      <c r="B2186" s="5" t="s">
        <v>5296</v>
      </c>
      <c r="C2186" s="5" t="s">
        <v>49</v>
      </c>
      <c r="D2186" s="5" t="s">
        <v>50</v>
      </c>
      <c r="E2186" s="5" t="s">
        <v>575</v>
      </c>
      <c r="F2186" s="9">
        <v>115</v>
      </c>
      <c r="G2186" s="9">
        <v>1336</v>
      </c>
      <c r="H2186" s="5" t="s">
        <v>20</v>
      </c>
      <c r="I2186" s="5" t="s">
        <v>5297</v>
      </c>
      <c r="J2186" s="12" t="str">
        <f>HYPERLINK("https://www.boe.es/gazeta/dias/1807/12/29/pdfs/GMD-1807-115.pdf#page=4","Abrir facsímil")</f>
        <v>Abrir facsímil</v>
      </c>
      <c r="K2186" s="15" t="s">
        <v>22</v>
      </c>
    </row>
    <row r="2187" spans="1:11" ht="42" customHeight="1">
      <c r="A2187" s="4" t="s">
        <v>5298</v>
      </c>
      <c r="B2187" s="5" t="s">
        <v>5298</v>
      </c>
      <c r="C2187" s="5" t="s">
        <v>17</v>
      </c>
      <c r="D2187" s="5" t="s">
        <v>18</v>
      </c>
      <c r="E2187" s="5" t="s">
        <v>65</v>
      </c>
      <c r="F2187" s="9">
        <v>52</v>
      </c>
      <c r="G2187" s="9">
        <v>621</v>
      </c>
      <c r="H2187" s="5" t="s">
        <v>20</v>
      </c>
      <c r="I2187" s="5" t="s">
        <v>5299</v>
      </c>
      <c r="J2187" s="12" t="str">
        <f>HYPERLINK("https://www.boe.es/gazeta/dias/1807/06/19/pdfs/GMD-1807-52.pdf#page=11","Abrir facsímil")</f>
        <v>Abrir facsímil</v>
      </c>
      <c r="K2187" s="15" t="s">
        <v>22</v>
      </c>
    </row>
    <row r="2188" spans="1:11" ht="42" customHeight="1">
      <c r="A2188" s="4" t="s">
        <v>5300</v>
      </c>
      <c r="B2188" s="5" t="s">
        <v>5300</v>
      </c>
      <c r="C2188" s="5" t="s">
        <v>49</v>
      </c>
      <c r="D2188" s="5" t="s">
        <v>50</v>
      </c>
      <c r="E2188" s="5" t="s">
        <v>86</v>
      </c>
      <c r="F2188" s="9">
        <v>12</v>
      </c>
      <c r="G2188" s="9">
        <v>131</v>
      </c>
      <c r="H2188" s="5" t="s">
        <v>20</v>
      </c>
      <c r="I2188" s="5" t="s">
        <v>5301</v>
      </c>
      <c r="J2188" s="12" t="str">
        <f>HYPERLINK("https://www.boe.es/gazeta/dias/1807/02/03/pdfs/GMD-1807-12.pdf#page=3","Abrir facsímil")</f>
        <v>Abrir facsímil</v>
      </c>
      <c r="K2188" s="15" t="s">
        <v>22</v>
      </c>
    </row>
    <row r="2189" spans="1:11" ht="42" customHeight="1">
      <c r="A2189" s="4" t="s">
        <v>5302</v>
      </c>
      <c r="B2189" s="5" t="s">
        <v>5302</v>
      </c>
      <c r="C2189" s="5" t="s">
        <v>49</v>
      </c>
      <c r="D2189" s="5" t="s">
        <v>50</v>
      </c>
      <c r="E2189" s="5" t="s">
        <v>301</v>
      </c>
      <c r="F2189" s="9">
        <v>89</v>
      </c>
      <c r="G2189" s="9">
        <v>1022</v>
      </c>
      <c r="H2189" s="5" t="s">
        <v>20</v>
      </c>
      <c r="I2189" s="5" t="s">
        <v>5303</v>
      </c>
      <c r="J2189" s="12" t="str">
        <f>HYPERLINK("https://www.boe.es/gazeta/dias/1807/10/02/pdfs/GMD-1807-89.pdf#page=2","Abrir facsímil")</f>
        <v>Abrir facsímil</v>
      </c>
      <c r="K2189" s="15" t="s">
        <v>22</v>
      </c>
    </row>
    <row r="2190" spans="1:11" ht="42" customHeight="1">
      <c r="A2190" s="4" t="s">
        <v>5302</v>
      </c>
      <c r="B2190" s="5" t="s">
        <v>5302</v>
      </c>
      <c r="C2190" s="5" t="s">
        <v>49</v>
      </c>
      <c r="D2190" s="5" t="s">
        <v>50</v>
      </c>
      <c r="E2190" s="5" t="s">
        <v>111</v>
      </c>
      <c r="F2190" s="9">
        <v>90</v>
      </c>
      <c r="G2190" s="9">
        <v>1038</v>
      </c>
      <c r="H2190" s="5" t="s">
        <v>20</v>
      </c>
      <c r="I2190" s="5" t="s">
        <v>5304</v>
      </c>
      <c r="J2190" s="12" t="str">
        <f>HYPERLINK("https://www.boe.es/gazeta/dias/1807/10/06/pdfs/GMD-1807-90.pdf#page=6","Abrir facsímil")</f>
        <v>Abrir facsímil</v>
      </c>
      <c r="K2190" s="15" t="s">
        <v>22</v>
      </c>
    </row>
    <row r="2191" spans="1:11" ht="42" customHeight="1">
      <c r="A2191" s="4" t="s">
        <v>5305</v>
      </c>
      <c r="B2191" s="5" t="s">
        <v>5305</v>
      </c>
      <c r="C2191" s="5" t="s">
        <v>34</v>
      </c>
      <c r="D2191" s="5" t="s">
        <v>35</v>
      </c>
      <c r="E2191" s="5" t="s">
        <v>156</v>
      </c>
      <c r="F2191" s="9">
        <v>74</v>
      </c>
      <c r="G2191" s="9">
        <v>856</v>
      </c>
      <c r="H2191" s="5" t="s">
        <v>20</v>
      </c>
      <c r="I2191" s="5" t="s">
        <v>5306</v>
      </c>
      <c r="J2191" s="12" t="str">
        <f>HYPERLINK("https://www.boe.es/gazeta/dias/1807/08/18/pdfs/GMD-1807-74.pdf#page=8","Abrir facsímil")</f>
        <v>Abrir facsímil</v>
      </c>
      <c r="K2191" s="15" t="s">
        <v>22</v>
      </c>
    </row>
    <row r="2192" spans="1:11" ht="42" customHeight="1">
      <c r="A2192" s="4" t="s">
        <v>5307</v>
      </c>
      <c r="B2192" s="5" t="s">
        <v>5307</v>
      </c>
      <c r="C2192" s="5" t="s">
        <v>34</v>
      </c>
      <c r="D2192" s="5" t="s">
        <v>35</v>
      </c>
      <c r="E2192" s="5" t="s">
        <v>4786</v>
      </c>
      <c r="F2192" s="9" t="s">
        <v>4787</v>
      </c>
      <c r="G2192" s="9">
        <v>1013</v>
      </c>
      <c r="H2192" s="5" t="s">
        <v>20</v>
      </c>
      <c r="I2192" s="5" t="s">
        <v>5308</v>
      </c>
      <c r="J2192" s="12" t="str">
        <f>HYPERLINK("https://www.boe.es/gazeta/dias/1807/09/30/pdfs/GMD-1807-88E.pdf#page=1","Abrir facsímil")</f>
        <v>Abrir facsímil</v>
      </c>
      <c r="K2192" s="15" t="s">
        <v>22</v>
      </c>
    </row>
    <row r="2193" spans="1:11" ht="42" customHeight="1">
      <c r="A2193" s="4" t="s">
        <v>5309</v>
      </c>
      <c r="B2193" s="5" t="s">
        <v>5309</v>
      </c>
      <c r="C2193" s="5" t="s">
        <v>28</v>
      </c>
      <c r="D2193" s="5" t="s">
        <v>29</v>
      </c>
      <c r="E2193" s="5" t="s">
        <v>654</v>
      </c>
      <c r="F2193" s="9">
        <v>94</v>
      </c>
      <c r="G2193" s="9">
        <v>1093</v>
      </c>
      <c r="H2193" s="5" t="s">
        <v>20</v>
      </c>
      <c r="I2193" s="5" t="s">
        <v>5310</v>
      </c>
      <c r="J2193" s="12" t="str">
        <f>HYPERLINK("https://www.boe.es/gazeta/dias/1807/10/20/pdfs/GMD-1807-94.pdf#page=9","Abrir facsímil")</f>
        <v>Abrir facsímil</v>
      </c>
      <c r="K2193" s="15" t="s">
        <v>22</v>
      </c>
    </row>
    <row r="2194" spans="1:11" ht="42" customHeight="1">
      <c r="A2194" s="4" t="s">
        <v>5311</v>
      </c>
      <c r="B2194" s="5" t="s">
        <v>5311</v>
      </c>
      <c r="C2194" s="5" t="s">
        <v>28</v>
      </c>
      <c r="D2194" s="5" t="s">
        <v>29</v>
      </c>
      <c r="E2194" s="5" t="s">
        <v>91</v>
      </c>
      <c r="F2194" s="9">
        <v>109</v>
      </c>
      <c r="G2194" s="9">
        <v>1273</v>
      </c>
      <c r="H2194" s="5" t="s">
        <v>20</v>
      </c>
      <c r="I2194" s="5" t="s">
        <v>5312</v>
      </c>
      <c r="J2194" s="12" t="str">
        <f>HYPERLINK("https://www.boe.es/gazeta/dias/1807/12/08/pdfs/GMD-1807-109.pdf#page=9","Abrir facsímil")</f>
        <v>Abrir facsímil</v>
      </c>
      <c r="K2194" s="15" t="s">
        <v>22</v>
      </c>
    </row>
    <row r="2195" spans="1:11" ht="42" customHeight="1">
      <c r="A2195" s="4" t="s">
        <v>5313</v>
      </c>
      <c r="B2195" s="5" t="s">
        <v>5313</v>
      </c>
      <c r="C2195" s="5" t="s">
        <v>34</v>
      </c>
      <c r="D2195" s="5" t="s">
        <v>35</v>
      </c>
      <c r="E2195" s="5" t="s">
        <v>91</v>
      </c>
      <c r="F2195" s="9">
        <v>109</v>
      </c>
      <c r="G2195" s="9">
        <v>1271</v>
      </c>
      <c r="H2195" s="5" t="s">
        <v>20</v>
      </c>
      <c r="I2195" s="5" t="s">
        <v>5314</v>
      </c>
      <c r="J2195" s="12" t="str">
        <f>HYPERLINK("https://www.boe.es/gazeta/dias/1807/12/08/pdfs/GMD-1807-109.pdf#page=7","Abrir facsímil")</f>
        <v>Abrir facsímil</v>
      </c>
      <c r="K2195" s="15" t="s">
        <v>22</v>
      </c>
    </row>
    <row r="2196" spans="1:11" ht="42" customHeight="1">
      <c r="A2196" s="4" t="s">
        <v>5315</v>
      </c>
      <c r="B2196" s="5" t="s">
        <v>5316</v>
      </c>
      <c r="C2196" s="5" t="s">
        <v>34</v>
      </c>
      <c r="D2196" s="5" t="s">
        <v>35</v>
      </c>
      <c r="E2196" s="5" t="s">
        <v>309</v>
      </c>
      <c r="F2196" s="9">
        <v>107</v>
      </c>
      <c r="G2196" s="9">
        <v>1247</v>
      </c>
      <c r="H2196" s="5" t="s">
        <v>20</v>
      </c>
      <c r="I2196" s="5" t="s">
        <v>5317</v>
      </c>
      <c r="J2196" s="12" t="str">
        <f>HYPERLINK("https://www.boe.es/gazeta/dias/1807/12/01/pdfs/GMD-1807-107.pdf#page=7","Abrir facsímil")</f>
        <v>Abrir facsímil</v>
      </c>
      <c r="K2196" s="15" t="s">
        <v>22</v>
      </c>
    </row>
    <row r="2197" spans="1:11" ht="42" customHeight="1">
      <c r="A2197" s="4" t="s">
        <v>5318</v>
      </c>
      <c r="B2197" s="5" t="s">
        <v>5319</v>
      </c>
      <c r="C2197" s="5" t="s">
        <v>89</v>
      </c>
      <c r="D2197" s="5" t="s">
        <v>90</v>
      </c>
      <c r="E2197" s="5" t="s">
        <v>221</v>
      </c>
      <c r="F2197" s="9">
        <v>73</v>
      </c>
      <c r="G2197" s="9">
        <v>848</v>
      </c>
      <c r="H2197" s="5" t="s">
        <v>20</v>
      </c>
      <c r="I2197" s="5" t="s">
        <v>5320</v>
      </c>
      <c r="J2197" s="12" t="str">
        <f>HYPERLINK("https://www.boe.es/gazeta/dias/1807/08/14/pdfs/GMD-1807-73.pdf#page=12","Abrir facsímil")</f>
        <v>Abrir facsímil</v>
      </c>
      <c r="K2197" s="15" t="s">
        <v>22</v>
      </c>
    </row>
    <row r="2198" spans="1:11" ht="42" customHeight="1">
      <c r="A2198" s="4" t="s">
        <v>5321</v>
      </c>
      <c r="B2198" s="5" t="s">
        <v>5322</v>
      </c>
      <c r="C2198" s="5" t="s">
        <v>34</v>
      </c>
      <c r="D2198" s="5" t="s">
        <v>35</v>
      </c>
      <c r="E2198" s="5" t="s">
        <v>167</v>
      </c>
      <c r="F2198" s="9">
        <v>77</v>
      </c>
      <c r="G2198" s="9">
        <v>886</v>
      </c>
      <c r="H2198" s="5" t="s">
        <v>20</v>
      </c>
      <c r="I2198" s="5" t="s">
        <v>5323</v>
      </c>
      <c r="J2198" s="12" t="str">
        <f>HYPERLINK("https://www.boe.es/gazeta/dias/1807/08/28/pdfs/GMD-1807-77.pdf#page=2","Abrir facsímil")</f>
        <v>Abrir facsímil</v>
      </c>
      <c r="K2198" s="15" t="s">
        <v>22</v>
      </c>
    </row>
    <row r="2199" spans="1:11" ht="42" customHeight="1">
      <c r="A2199" s="4" t="s">
        <v>5324</v>
      </c>
      <c r="B2199" s="5" t="s">
        <v>5325</v>
      </c>
      <c r="C2199" s="5" t="s">
        <v>34</v>
      </c>
      <c r="D2199" s="5" t="s">
        <v>35</v>
      </c>
      <c r="E2199" s="5" t="s">
        <v>572</v>
      </c>
      <c r="F2199" s="9">
        <v>14</v>
      </c>
      <c r="G2199" s="9">
        <v>157</v>
      </c>
      <c r="H2199" s="5" t="s">
        <v>20</v>
      </c>
      <c r="I2199" s="5" t="s">
        <v>5326</v>
      </c>
      <c r="J2199" s="12" t="str">
        <f>HYPERLINK("https://www.boe.es/gazeta/dias/1807/02/10/pdfs/GMD-1807-14.pdf#page=5","Abrir facsímil")</f>
        <v>Abrir facsímil</v>
      </c>
      <c r="K2199" s="15" t="s">
        <v>22</v>
      </c>
    </row>
    <row r="2200" spans="1:11" ht="42" customHeight="1">
      <c r="A2200" s="4" t="s">
        <v>5327</v>
      </c>
      <c r="B2200" s="5" t="s">
        <v>5327</v>
      </c>
      <c r="C2200" s="5" t="s">
        <v>28</v>
      </c>
      <c r="D2200" s="5" t="s">
        <v>29</v>
      </c>
      <c r="E2200" s="5" t="s">
        <v>418</v>
      </c>
      <c r="F2200" s="9">
        <v>4</v>
      </c>
      <c r="G2200" s="9">
        <v>43</v>
      </c>
      <c r="H2200" s="5" t="s">
        <v>20</v>
      </c>
      <c r="I2200" s="5" t="s">
        <v>5328</v>
      </c>
      <c r="J2200" s="12" t="str">
        <f>HYPERLINK("https://www.boe.es/gazeta/dias/1807/01/13/pdfs/GMD-1807-4.pdf#page=11","Abrir facsímil")</f>
        <v>Abrir facsímil</v>
      </c>
      <c r="K2200" s="15" t="s">
        <v>22</v>
      </c>
    </row>
    <row r="2201" spans="1:11" ht="42" customHeight="1">
      <c r="A2201" s="4" t="s">
        <v>5329</v>
      </c>
      <c r="B2201" s="5" t="s">
        <v>5330</v>
      </c>
      <c r="C2201" s="5" t="s">
        <v>28</v>
      </c>
      <c r="D2201" s="5" t="s">
        <v>29</v>
      </c>
      <c r="E2201" s="5" t="s">
        <v>76</v>
      </c>
      <c r="F2201" s="9">
        <v>7</v>
      </c>
      <c r="G2201" s="9">
        <v>76</v>
      </c>
      <c r="H2201" s="5" t="s">
        <v>20</v>
      </c>
      <c r="I2201" s="5" t="s">
        <v>5331</v>
      </c>
      <c r="J2201" s="12" t="str">
        <f>HYPERLINK("https://www.boe.es/gazeta/dias/1807/01/20/pdfs/GMD-1807-7.pdf#page=8","Abrir facsímil")</f>
        <v>Abrir facsímil</v>
      </c>
      <c r="K2201" s="15" t="s">
        <v>22</v>
      </c>
    </row>
    <row r="2202" spans="1:11" ht="42" customHeight="1">
      <c r="A2202" s="4" t="s">
        <v>5332</v>
      </c>
      <c r="B2202" s="5" t="s">
        <v>5333</v>
      </c>
      <c r="C2202" s="5" t="s">
        <v>89</v>
      </c>
      <c r="D2202" s="5" t="s">
        <v>90</v>
      </c>
      <c r="E2202" s="5" t="s">
        <v>219</v>
      </c>
      <c r="F2202" s="9">
        <v>56</v>
      </c>
      <c r="G2202" s="9">
        <v>674</v>
      </c>
      <c r="H2202" s="5" t="s">
        <v>20</v>
      </c>
      <c r="I2202" s="5" t="s">
        <v>5334</v>
      </c>
      <c r="J2202" s="12" t="str">
        <f>HYPERLINK("https://www.boe.es/gazeta/dias/1807/07/03/pdfs/GMD-1807-56.pdf#page=12","Abrir facsímil")</f>
        <v>Abrir facsímil</v>
      </c>
      <c r="K2202" s="15" t="s">
        <v>22</v>
      </c>
    </row>
    <row r="2203" spans="1:11" ht="42" customHeight="1">
      <c r="A2203" s="4" t="s">
        <v>5335</v>
      </c>
      <c r="B2203" s="5" t="s">
        <v>5336</v>
      </c>
      <c r="C2203" s="5" t="s">
        <v>28</v>
      </c>
      <c r="D2203" s="5" t="s">
        <v>29</v>
      </c>
      <c r="E2203" s="5" t="s">
        <v>76</v>
      </c>
      <c r="F2203" s="9">
        <v>7</v>
      </c>
      <c r="G2203" s="9">
        <v>76</v>
      </c>
      <c r="H2203" s="5" t="s">
        <v>20</v>
      </c>
      <c r="I2203" s="5" t="s">
        <v>5337</v>
      </c>
      <c r="J2203" s="12" t="str">
        <f>HYPERLINK("https://www.boe.es/gazeta/dias/1807/01/20/pdfs/GMD-1807-7.pdf#page=8","Abrir facsímil")</f>
        <v>Abrir facsímil</v>
      </c>
      <c r="K2203" s="15" t="s">
        <v>22</v>
      </c>
    </row>
    <row r="2204" spans="1:11" ht="42" customHeight="1">
      <c r="A2204" s="4" t="s">
        <v>5335</v>
      </c>
      <c r="B2204" s="5" t="s">
        <v>5336</v>
      </c>
      <c r="C2204" s="5" t="s">
        <v>24</v>
      </c>
      <c r="D2204" s="5" t="s">
        <v>18</v>
      </c>
      <c r="E2204" s="5" t="s">
        <v>314</v>
      </c>
      <c r="F2204" s="9" t="s">
        <v>315</v>
      </c>
      <c r="G2204" s="9">
        <v>1218</v>
      </c>
      <c r="H2204" s="5" t="s">
        <v>20</v>
      </c>
      <c r="I2204" s="5" t="s">
        <v>5338</v>
      </c>
      <c r="J2204" s="12" t="str">
        <f>HYPERLINK("https://www.boe.es/gazeta/dias/1807/11/26/pdfs/GMD-1807-105E.pdf#page=2","Abrir facsímil")</f>
        <v>Abrir facsímil</v>
      </c>
      <c r="K2204" s="15" t="s">
        <v>22</v>
      </c>
    </row>
    <row r="2205" spans="1:11" ht="42" customHeight="1">
      <c r="A2205" s="4" t="s">
        <v>5335</v>
      </c>
      <c r="B2205" s="5" t="s">
        <v>5336</v>
      </c>
      <c r="C2205" s="5" t="s">
        <v>252</v>
      </c>
      <c r="D2205" s="5" t="s">
        <v>253</v>
      </c>
      <c r="E2205" s="5" t="s">
        <v>314</v>
      </c>
      <c r="F2205" s="9" t="s">
        <v>315</v>
      </c>
      <c r="G2205" s="9">
        <v>1219</v>
      </c>
      <c r="H2205" s="5" t="s">
        <v>20</v>
      </c>
      <c r="I2205" s="5" t="s">
        <v>5339</v>
      </c>
      <c r="J2205" s="12" t="str">
        <f>HYPERLINK("https://www.boe.es/gazeta/dias/1807/11/26/pdfs/GMD-1807-105E.pdf#page=3","Abrir facsímil")</f>
        <v>Abrir facsímil</v>
      </c>
      <c r="K2205" s="15" t="s">
        <v>22</v>
      </c>
    </row>
    <row r="2206" spans="1:11" ht="42" customHeight="1">
      <c r="A2206" s="4" t="s">
        <v>5335</v>
      </c>
      <c r="B2206" s="5" t="s">
        <v>5336</v>
      </c>
      <c r="C2206" s="5" t="s">
        <v>252</v>
      </c>
      <c r="D2206" s="5" t="s">
        <v>253</v>
      </c>
      <c r="E2206" s="5" t="s">
        <v>314</v>
      </c>
      <c r="F2206" s="9" t="s">
        <v>315</v>
      </c>
      <c r="G2206" s="9">
        <v>1223</v>
      </c>
      <c r="H2206" s="5" t="s">
        <v>20</v>
      </c>
      <c r="I2206" s="5" t="s">
        <v>5340</v>
      </c>
      <c r="J2206" s="12" t="str">
        <f>HYPERLINK("https://www.boe.es/gazeta/dias/1807/11/26/pdfs/GMD-1807-105E.pdf#page=7","Abrir facsímil")</f>
        <v>Abrir facsímil</v>
      </c>
      <c r="K2206" s="15" t="s">
        <v>22</v>
      </c>
    </row>
    <row r="2207" spans="1:11" ht="42" customHeight="1">
      <c r="A2207" s="4" t="s">
        <v>5341</v>
      </c>
      <c r="B2207" s="5" t="s">
        <v>5342</v>
      </c>
      <c r="C2207" s="5" t="s">
        <v>28</v>
      </c>
      <c r="D2207" s="5" t="s">
        <v>29</v>
      </c>
      <c r="E2207" s="5" t="s">
        <v>135</v>
      </c>
      <c r="F2207" s="9">
        <v>80</v>
      </c>
      <c r="G2207" s="9">
        <v>933</v>
      </c>
      <c r="H2207" s="5" t="s">
        <v>20</v>
      </c>
      <c r="I2207" s="5" t="s">
        <v>5343</v>
      </c>
      <c r="J2207" s="12" t="str">
        <f>HYPERLINK("https://www.boe.es/gazeta/dias/1807/09/08/pdfs/GMD-1807-80.pdf#page=9","Abrir facsímil")</f>
        <v>Abrir facsímil</v>
      </c>
      <c r="K2207" s="15" t="s">
        <v>22</v>
      </c>
    </row>
    <row r="2208" spans="1:11" ht="42" customHeight="1">
      <c r="A2208" s="4" t="s">
        <v>5344</v>
      </c>
      <c r="B2208" s="5" t="s">
        <v>5345</v>
      </c>
      <c r="C2208" s="5" t="s">
        <v>34</v>
      </c>
      <c r="D2208" s="5" t="s">
        <v>35</v>
      </c>
      <c r="E2208" s="5" t="s">
        <v>530</v>
      </c>
      <c r="F2208" s="9">
        <v>79</v>
      </c>
      <c r="G2208" s="9">
        <v>924</v>
      </c>
      <c r="H2208" s="5" t="s">
        <v>20</v>
      </c>
      <c r="I2208" s="5" t="s">
        <v>5346</v>
      </c>
      <c r="J2208" s="12" t="str">
        <f>HYPERLINK("https://www.boe.es/gazeta/dias/1807/09/04/pdfs/GMD-1807-79.pdf#page=16","Abrir facsímil")</f>
        <v>Abrir facsímil</v>
      </c>
      <c r="K2208" s="15" t="s">
        <v>22</v>
      </c>
    </row>
    <row r="2209" spans="1:11" ht="42" customHeight="1">
      <c r="A2209" s="4" t="s">
        <v>5347</v>
      </c>
      <c r="B2209" s="5" t="s">
        <v>5348</v>
      </c>
      <c r="C2209" s="5" t="s">
        <v>24</v>
      </c>
      <c r="D2209" s="5" t="s">
        <v>18</v>
      </c>
      <c r="E2209" s="5" t="s">
        <v>36</v>
      </c>
      <c r="F2209" s="9">
        <v>36</v>
      </c>
      <c r="G2209" s="9">
        <v>432</v>
      </c>
      <c r="H2209" s="5" t="s">
        <v>20</v>
      </c>
      <c r="I2209" s="5" t="s">
        <v>5349</v>
      </c>
      <c r="J2209" s="12" t="str">
        <f>HYPERLINK("https://www.boe.es/gazeta/dias/1807/04/24/pdfs/GMD-1807-36.pdf#page=12","Abrir facsímil")</f>
        <v>Abrir facsímil</v>
      </c>
      <c r="K2209" s="15" t="s">
        <v>22</v>
      </c>
    </row>
    <row r="2210" spans="1:11" ht="42" customHeight="1">
      <c r="A2210" s="4" t="s">
        <v>5347</v>
      </c>
      <c r="B2210" s="5" t="s">
        <v>5348</v>
      </c>
      <c r="C2210" s="5" t="s">
        <v>34</v>
      </c>
      <c r="D2210" s="5" t="s">
        <v>35</v>
      </c>
      <c r="E2210" s="5" t="s">
        <v>186</v>
      </c>
      <c r="F2210" s="9">
        <v>72</v>
      </c>
      <c r="G2210" s="9">
        <v>835</v>
      </c>
      <c r="H2210" s="5" t="s">
        <v>20</v>
      </c>
      <c r="I2210" s="5" t="s">
        <v>5350</v>
      </c>
      <c r="J2210" s="12" t="str">
        <f>HYPERLINK("https://www.boe.es/gazeta/dias/1807/08/11/pdfs/GMD-1807-72.pdf#page=15","Abrir facsímil")</f>
        <v>Abrir facsímil</v>
      </c>
      <c r="K2210" s="15" t="s">
        <v>22</v>
      </c>
    </row>
    <row r="2211" spans="1:11" ht="42" customHeight="1">
      <c r="A2211" s="4" t="s">
        <v>5351</v>
      </c>
      <c r="B2211" s="5" t="s">
        <v>5352</v>
      </c>
      <c r="C2211" s="5" t="s">
        <v>34</v>
      </c>
      <c r="D2211" s="5" t="s">
        <v>35</v>
      </c>
      <c r="E2211" s="5" t="s">
        <v>42</v>
      </c>
      <c r="F2211" s="9">
        <v>31</v>
      </c>
      <c r="G2211" s="9">
        <v>368</v>
      </c>
      <c r="H2211" s="5" t="s">
        <v>20</v>
      </c>
      <c r="I2211" s="5" t="s">
        <v>5353</v>
      </c>
      <c r="J2211" s="12" t="str">
        <f>HYPERLINK("https://www.boe.es/gazeta/dias/1807/04/07/pdfs/GMD-1807-31.pdf#page=8","Abrir facsímil")</f>
        <v>Abrir facsímil</v>
      </c>
      <c r="K2211" s="15" t="s">
        <v>22</v>
      </c>
    </row>
    <row r="2212" spans="1:11" ht="42" customHeight="1">
      <c r="A2212" s="4" t="s">
        <v>5354</v>
      </c>
      <c r="B2212" s="5" t="s">
        <v>5355</v>
      </c>
      <c r="C2212" s="5" t="s">
        <v>34</v>
      </c>
      <c r="D2212" s="5" t="s">
        <v>35</v>
      </c>
      <c r="E2212" s="5" t="s">
        <v>376</v>
      </c>
      <c r="F2212" s="9">
        <v>19</v>
      </c>
      <c r="G2212" s="9">
        <v>226</v>
      </c>
      <c r="H2212" s="5" t="s">
        <v>20</v>
      </c>
      <c r="I2212" s="5" t="s">
        <v>5356</v>
      </c>
      <c r="J2212" s="12" t="str">
        <f>HYPERLINK("https://www.boe.es/gazeta/dias/1807/02/27/pdfs/GMD-1807-19.pdf#page=10","Abrir facsímil")</f>
        <v>Abrir facsímil</v>
      </c>
      <c r="K2212" s="15" t="s">
        <v>22</v>
      </c>
    </row>
    <row r="2213" spans="1:11" ht="42" customHeight="1">
      <c r="A2213" s="4" t="s">
        <v>5357</v>
      </c>
      <c r="B2213" s="5" t="s">
        <v>5358</v>
      </c>
      <c r="C2213" s="5" t="s">
        <v>34</v>
      </c>
      <c r="D2213" s="5" t="s">
        <v>35</v>
      </c>
      <c r="E2213" s="5" t="s">
        <v>94</v>
      </c>
      <c r="F2213" s="9">
        <v>22</v>
      </c>
      <c r="G2213" s="9">
        <v>254</v>
      </c>
      <c r="H2213" s="5" t="s">
        <v>20</v>
      </c>
      <c r="I2213" s="5" t="s">
        <v>5359</v>
      </c>
      <c r="J2213" s="12" t="str">
        <f>HYPERLINK("https://www.boe.es/gazeta/dias/1807/03/06/pdfs/GMD-1807-22.pdf#page=6","Abrir facsímil")</f>
        <v>Abrir facsímil</v>
      </c>
      <c r="K2213" s="15" t="s">
        <v>22</v>
      </c>
    </row>
    <row r="2214" spans="1:11" ht="42" customHeight="1">
      <c r="A2214" s="4" t="s">
        <v>5360</v>
      </c>
      <c r="B2214" s="5" t="s">
        <v>5361</v>
      </c>
      <c r="C2214" s="5" t="s">
        <v>28</v>
      </c>
      <c r="D2214" s="5" t="s">
        <v>29</v>
      </c>
      <c r="E2214" s="5" t="s">
        <v>149</v>
      </c>
      <c r="F2214" s="9">
        <v>38</v>
      </c>
      <c r="G2214" s="9">
        <v>454</v>
      </c>
      <c r="H2214" s="5" t="s">
        <v>20</v>
      </c>
      <c r="I2214" s="5" t="s">
        <v>5362</v>
      </c>
      <c r="J2214" s="12" t="str">
        <f>HYPERLINK("https://www.boe.es/gazeta/dias/1807/05/01/pdfs/GMD-1807-38.pdf#page=10","Abrir facsímil")</f>
        <v>Abrir facsímil</v>
      </c>
      <c r="K2214" s="15" t="s">
        <v>22</v>
      </c>
    </row>
    <row r="2215" spans="1:11" ht="42" customHeight="1">
      <c r="A2215" s="4" t="s">
        <v>5363</v>
      </c>
      <c r="B2215" s="5" t="s">
        <v>5364</v>
      </c>
      <c r="C2215" s="5" t="s">
        <v>34</v>
      </c>
      <c r="D2215" s="5" t="s">
        <v>35</v>
      </c>
      <c r="E2215" s="5" t="s">
        <v>109</v>
      </c>
      <c r="F2215" s="9">
        <v>58</v>
      </c>
      <c r="G2215" s="9">
        <v>689</v>
      </c>
      <c r="H2215" s="5" t="s">
        <v>20</v>
      </c>
      <c r="I2215" s="5" t="s">
        <v>5365</v>
      </c>
      <c r="J2215" s="12" t="str">
        <f>HYPERLINK("https://www.boe.es/gazeta/dias/1807/07/07/pdfs/GMD-1807-58.pdf#page=7","Abrir facsímil")</f>
        <v>Abrir facsímil</v>
      </c>
      <c r="K2215" s="15" t="s">
        <v>22</v>
      </c>
    </row>
    <row r="2216" spans="1:11" ht="42" customHeight="1">
      <c r="A2216" s="4" t="s">
        <v>5366</v>
      </c>
      <c r="B2216" s="5" t="s">
        <v>5367</v>
      </c>
      <c r="C2216" s="5" t="s">
        <v>17</v>
      </c>
      <c r="D2216" s="5" t="s">
        <v>18</v>
      </c>
      <c r="E2216" s="5" t="s">
        <v>414</v>
      </c>
      <c r="F2216" s="9">
        <v>40</v>
      </c>
      <c r="G2216" s="9">
        <v>481</v>
      </c>
      <c r="H2216" s="5" t="s">
        <v>20</v>
      </c>
      <c r="I2216" s="5" t="s">
        <v>5368</v>
      </c>
      <c r="J2216" s="12" t="str">
        <f>HYPERLINK("https://www.boe.es/gazeta/dias/1807/05/08/pdfs/GMD-1807-40.pdf#page=11","Abrir facsímil")</f>
        <v>Abrir facsímil</v>
      </c>
      <c r="K2216" s="15" t="s">
        <v>22</v>
      </c>
    </row>
    <row r="2217" spans="1:11" ht="42" customHeight="1">
      <c r="A2217" s="4" t="s">
        <v>5369</v>
      </c>
      <c r="B2217" s="5" t="s">
        <v>5370</v>
      </c>
      <c r="C2217" s="5" t="s">
        <v>34</v>
      </c>
      <c r="D2217" s="5" t="s">
        <v>35</v>
      </c>
      <c r="E2217" s="5" t="s">
        <v>106</v>
      </c>
      <c r="F2217" s="9">
        <v>39</v>
      </c>
      <c r="G2217" s="9">
        <v>465</v>
      </c>
      <c r="H2217" s="5" t="s">
        <v>20</v>
      </c>
      <c r="I2217" s="5" t="s">
        <v>5371</v>
      </c>
      <c r="J2217" s="12" t="str">
        <f>HYPERLINK("https://www.boe.es/gazeta/dias/1807/05/05/pdfs/GMD-1807-39.pdf#page=7","Abrir facsímil")</f>
        <v>Abrir facsímil</v>
      </c>
      <c r="K2217" s="15" t="s">
        <v>22</v>
      </c>
    </row>
    <row r="2218" spans="1:11" ht="42" customHeight="1">
      <c r="A2218" s="4" t="s">
        <v>5372</v>
      </c>
      <c r="B2218" s="5" t="s">
        <v>5372</v>
      </c>
      <c r="C2218" s="5" t="s">
        <v>49</v>
      </c>
      <c r="D2218" s="5" t="s">
        <v>50</v>
      </c>
      <c r="E2218" s="5" t="s">
        <v>259</v>
      </c>
      <c r="F2218" s="9">
        <v>3</v>
      </c>
      <c r="G2218" s="9">
        <v>24</v>
      </c>
      <c r="H2218" s="5" t="s">
        <v>20</v>
      </c>
      <c r="I2218" s="5" t="s">
        <v>5373</v>
      </c>
      <c r="J2218" s="12" t="str">
        <f>HYPERLINK("https://www.boe.es/gazeta/dias/1807/01/09/pdfs/GMD-1807-3.pdf#page=4","Abrir facsímil")</f>
        <v>Abrir facsímil</v>
      </c>
      <c r="K2218" s="15" t="s">
        <v>22</v>
      </c>
    </row>
    <row r="2219" spans="1:11" ht="42" customHeight="1">
      <c r="A2219" s="4" t="s">
        <v>5374</v>
      </c>
      <c r="B2219" s="5" t="s">
        <v>5375</v>
      </c>
      <c r="C2219" s="5" t="s">
        <v>34</v>
      </c>
      <c r="D2219" s="5" t="s">
        <v>35</v>
      </c>
      <c r="E2219" s="5" t="s">
        <v>471</v>
      </c>
      <c r="F2219" s="9">
        <v>51</v>
      </c>
      <c r="G2219" s="9">
        <v>605</v>
      </c>
      <c r="H2219" s="5" t="s">
        <v>20</v>
      </c>
      <c r="I2219" s="5" t="s">
        <v>5376</v>
      </c>
      <c r="J2219" s="12" t="str">
        <f>HYPERLINK("https://www.boe.es/gazeta/dias/1807/06/16/pdfs/GMD-1807-51.pdf#page=7","Abrir facsímil")</f>
        <v>Abrir facsímil</v>
      </c>
      <c r="K2219" s="15" t="s">
        <v>22</v>
      </c>
    </row>
    <row r="2220" spans="1:11" ht="42" customHeight="1">
      <c r="A2220" s="4" t="s">
        <v>5377</v>
      </c>
      <c r="B2220" s="5" t="s">
        <v>5378</v>
      </c>
      <c r="C2220" s="5" t="s">
        <v>252</v>
      </c>
      <c r="D2220" s="5" t="s">
        <v>253</v>
      </c>
      <c r="E2220" s="5" t="s">
        <v>615</v>
      </c>
      <c r="F2220" s="9" t="s">
        <v>616</v>
      </c>
      <c r="G2220" s="9">
        <v>1000</v>
      </c>
      <c r="H2220" s="5" t="s">
        <v>20</v>
      </c>
      <c r="I2220" s="5" t="s">
        <v>5379</v>
      </c>
      <c r="J2220" s="12" t="str">
        <f>HYPERLINK("https://www.boe.es/gazeta/dias/1807/09/27/pdfs/GMD-1807-86E.pdf#page=4","Abrir facsímil")</f>
        <v>Abrir facsímil</v>
      </c>
      <c r="K2220" s="15" t="s">
        <v>22</v>
      </c>
    </row>
    <row r="2221" spans="1:11" ht="42" customHeight="1">
      <c r="A2221" s="4" t="s">
        <v>5380</v>
      </c>
      <c r="B2221" s="5" t="s">
        <v>5380</v>
      </c>
      <c r="C2221" s="5" t="s">
        <v>89</v>
      </c>
      <c r="D2221" s="5" t="s">
        <v>90</v>
      </c>
      <c r="E2221" s="5" t="s">
        <v>305</v>
      </c>
      <c r="F2221" s="9">
        <v>53</v>
      </c>
      <c r="G2221" s="9">
        <v>638</v>
      </c>
      <c r="H2221" s="5" t="s">
        <v>20</v>
      </c>
      <c r="I2221" s="5" t="s">
        <v>5381</v>
      </c>
      <c r="J2221" s="12" t="str">
        <f>HYPERLINK("https://www.boe.es/gazeta/dias/1807/06/23/pdfs/GMD-1807-53.pdf#page=12","Abrir facsímil")</f>
        <v>Abrir facsímil</v>
      </c>
      <c r="K2221" s="15" t="s">
        <v>22</v>
      </c>
    </row>
    <row r="2222" spans="1:11" ht="42" customHeight="1">
      <c r="A2222" s="4" t="s">
        <v>5380</v>
      </c>
      <c r="B2222" s="5" t="s">
        <v>5380</v>
      </c>
      <c r="C2222" s="5" t="s">
        <v>49</v>
      </c>
      <c r="D2222" s="5" t="s">
        <v>50</v>
      </c>
      <c r="E2222" s="5" t="s">
        <v>62</v>
      </c>
      <c r="F2222" s="9">
        <v>68</v>
      </c>
      <c r="G2222" s="9">
        <v>778</v>
      </c>
      <c r="H2222" s="5" t="s">
        <v>20</v>
      </c>
      <c r="I2222" s="5" t="s">
        <v>5382</v>
      </c>
      <c r="J2222" s="12" t="str">
        <f>HYPERLINK("https://www.boe.es/gazeta/dias/1807/07/31/pdfs/GMD-1807-68.pdf#page=2","Abrir facsímil")</f>
        <v>Abrir facsímil</v>
      </c>
      <c r="K2222" s="15" t="s">
        <v>22</v>
      </c>
    </row>
    <row r="2223" spans="1:11" ht="42" customHeight="1">
      <c r="A2223" s="4" t="s">
        <v>5383</v>
      </c>
      <c r="B2223" s="5" t="s">
        <v>5384</v>
      </c>
      <c r="C2223" s="5" t="s">
        <v>34</v>
      </c>
      <c r="D2223" s="5" t="s">
        <v>35</v>
      </c>
      <c r="E2223" s="5" t="s">
        <v>25</v>
      </c>
      <c r="F2223" s="9">
        <v>45</v>
      </c>
      <c r="G2223" s="9">
        <v>531</v>
      </c>
      <c r="H2223" s="5" t="s">
        <v>20</v>
      </c>
      <c r="I2223" s="5" t="s">
        <v>5385</v>
      </c>
      <c r="J2223" s="12" t="str">
        <f>HYPERLINK("https://www.boe.es/gazeta/dias/1807/05/26/pdfs/GMD-1807-45.pdf#page=1","Abrir facsímil")</f>
        <v>Abrir facsímil</v>
      </c>
      <c r="K2223" s="15" t="s">
        <v>22</v>
      </c>
    </row>
    <row r="2224" spans="1:11" ht="42" customHeight="1">
      <c r="A2224" s="4" t="s">
        <v>5386</v>
      </c>
      <c r="B2224" s="5" t="s">
        <v>5387</v>
      </c>
      <c r="C2224" s="5" t="s">
        <v>49</v>
      </c>
      <c r="D2224" s="5" t="s">
        <v>50</v>
      </c>
      <c r="E2224" s="5" t="s">
        <v>30</v>
      </c>
      <c r="F2224" s="9">
        <v>13</v>
      </c>
      <c r="G2224" s="9">
        <v>146</v>
      </c>
      <c r="H2224" s="5" t="s">
        <v>20</v>
      </c>
      <c r="I2224" s="5" t="s">
        <v>5388</v>
      </c>
      <c r="J2224" s="12" t="str">
        <f>HYPERLINK("https://www.boe.es/gazeta/dias/1807/02/06/pdfs/GMD-1807-13.pdf#page=6","Abrir facsímil")</f>
        <v>Abrir facsímil</v>
      </c>
      <c r="K2224" s="15" t="s">
        <v>22</v>
      </c>
    </row>
    <row r="2225" spans="1:11" ht="42" customHeight="1">
      <c r="A2225" s="4" t="s">
        <v>5389</v>
      </c>
      <c r="B2225" s="5" t="s">
        <v>5389</v>
      </c>
      <c r="C2225" s="5" t="s">
        <v>49</v>
      </c>
      <c r="D2225" s="5" t="s">
        <v>50</v>
      </c>
      <c r="E2225" s="5" t="s">
        <v>384</v>
      </c>
      <c r="F2225" s="9">
        <v>111</v>
      </c>
      <c r="G2225" s="9">
        <v>1291</v>
      </c>
      <c r="H2225" s="5" t="s">
        <v>20</v>
      </c>
      <c r="I2225" s="5" t="s">
        <v>5390</v>
      </c>
      <c r="J2225" s="12" t="str">
        <f>HYPERLINK("https://www.boe.es/gazeta/dias/1807/12/15/pdfs/GMD-1807-111.pdf#page=3","Abrir facsímil")</f>
        <v>Abrir facsímil</v>
      </c>
      <c r="K2225" s="15" t="s">
        <v>22</v>
      </c>
    </row>
    <row r="2226" spans="1:11" ht="42" customHeight="1">
      <c r="A2226" s="4" t="s">
        <v>5391</v>
      </c>
      <c r="B2226" s="5" t="s">
        <v>5391</v>
      </c>
      <c r="C2226" s="5" t="s">
        <v>89</v>
      </c>
      <c r="D2226" s="5" t="s">
        <v>90</v>
      </c>
      <c r="E2226" s="5" t="s">
        <v>581</v>
      </c>
      <c r="F2226" s="9">
        <v>71</v>
      </c>
      <c r="G2226" s="9">
        <v>818</v>
      </c>
      <c r="H2226" s="5" t="s">
        <v>20</v>
      </c>
      <c r="I2226" s="5" t="s">
        <v>5392</v>
      </c>
      <c r="J2226" s="12" t="str">
        <f>HYPERLINK("https://www.boe.es/gazeta/dias/1807/08/07/pdfs/GMD-1807-71.pdf#page=10","Abrir facsímil")</f>
        <v>Abrir facsímil</v>
      </c>
      <c r="K2226" s="15" t="s">
        <v>22</v>
      </c>
    </row>
    <row r="2227" spans="1:11" ht="42" customHeight="1">
      <c r="A2227" s="4" t="s">
        <v>5393</v>
      </c>
      <c r="B2227" s="5" t="s">
        <v>5394</v>
      </c>
      <c r="C2227" s="5" t="s">
        <v>34</v>
      </c>
      <c r="D2227" s="5" t="s">
        <v>35</v>
      </c>
      <c r="E2227" s="5" t="s">
        <v>76</v>
      </c>
      <c r="F2227" s="9">
        <v>7</v>
      </c>
      <c r="G2227" s="9">
        <v>71</v>
      </c>
      <c r="H2227" s="5" t="s">
        <v>20</v>
      </c>
      <c r="I2227" s="5" t="s">
        <v>5395</v>
      </c>
      <c r="J2227" s="12" t="str">
        <f>HYPERLINK("https://www.boe.es/gazeta/dias/1807/01/20/pdfs/GMD-1807-7.pdf#page=3","Abrir facsímil")</f>
        <v>Abrir facsímil</v>
      </c>
      <c r="K2227" s="15" t="s">
        <v>22</v>
      </c>
    </row>
    <row r="2228" spans="1:11" ht="42" customHeight="1">
      <c r="A2228" s="4" t="s">
        <v>5396</v>
      </c>
      <c r="B2228" s="5" t="s">
        <v>5397</v>
      </c>
      <c r="C2228" s="5" t="s">
        <v>28</v>
      </c>
      <c r="D2228" s="5" t="s">
        <v>29</v>
      </c>
      <c r="E2228" s="5" t="s">
        <v>259</v>
      </c>
      <c r="F2228" s="9">
        <v>3</v>
      </c>
      <c r="G2228" s="9">
        <v>26</v>
      </c>
      <c r="H2228" s="5" t="s">
        <v>20</v>
      </c>
      <c r="I2228" s="5" t="s">
        <v>5398</v>
      </c>
      <c r="J2228" s="12" t="str">
        <f>HYPERLINK("https://www.boe.es/gazeta/dias/1807/01/09/pdfs/GMD-1807-3.pdf#page=6","Abrir facsímil")</f>
        <v>Abrir facsímil</v>
      </c>
      <c r="K2228" s="15" t="s">
        <v>22</v>
      </c>
    </row>
    <row r="2229" spans="1:11" ht="42" customHeight="1">
      <c r="A2229" s="4" t="s">
        <v>5399</v>
      </c>
      <c r="B2229" s="5" t="s">
        <v>5400</v>
      </c>
      <c r="C2229" s="5" t="s">
        <v>49</v>
      </c>
      <c r="D2229" s="5" t="s">
        <v>50</v>
      </c>
      <c r="E2229" s="5" t="s">
        <v>79</v>
      </c>
      <c r="F2229" s="9">
        <v>11</v>
      </c>
      <c r="G2229" s="9">
        <v>117</v>
      </c>
      <c r="H2229" s="5" t="s">
        <v>20</v>
      </c>
      <c r="I2229" s="5" t="s">
        <v>5401</v>
      </c>
      <c r="J2229" s="12" t="str">
        <f>HYPERLINK("https://www.boe.es/gazeta/dias/1807/01/30/pdfs/GMD-1807-11.pdf#page=1","Abrir facsímil")</f>
        <v>Abrir facsímil</v>
      </c>
      <c r="K2229" s="15" t="s">
        <v>22</v>
      </c>
    </row>
    <row r="2230" spans="1:11" ht="42" customHeight="1">
      <c r="A2230" s="4" t="s">
        <v>5399</v>
      </c>
      <c r="B2230" s="5" t="s">
        <v>5400</v>
      </c>
      <c r="C2230" s="5" t="s">
        <v>49</v>
      </c>
      <c r="D2230" s="5" t="s">
        <v>50</v>
      </c>
      <c r="E2230" s="5" t="s">
        <v>46</v>
      </c>
      <c r="F2230" s="9">
        <v>78</v>
      </c>
      <c r="G2230" s="9">
        <v>898</v>
      </c>
      <c r="H2230" s="5" t="s">
        <v>20</v>
      </c>
      <c r="I2230" s="5" t="s">
        <v>5402</v>
      </c>
      <c r="J2230" s="12" t="str">
        <f>HYPERLINK("https://www.boe.es/gazeta/dias/1807/09/01/pdfs/GMD-1807-78.pdf#page=2","Abrir facsímil")</f>
        <v>Abrir facsímil</v>
      </c>
      <c r="K2230" s="15" t="s">
        <v>22</v>
      </c>
    </row>
    <row r="2231" spans="1:11" ht="42" customHeight="1">
      <c r="A2231" s="4" t="s">
        <v>5403</v>
      </c>
      <c r="B2231" s="5" t="s">
        <v>5404</v>
      </c>
      <c r="C2231" s="5" t="s">
        <v>34</v>
      </c>
      <c r="D2231" s="5" t="s">
        <v>35</v>
      </c>
      <c r="E2231" s="5" t="s">
        <v>30</v>
      </c>
      <c r="F2231" s="9">
        <v>13</v>
      </c>
      <c r="G2231" s="9">
        <v>144</v>
      </c>
      <c r="H2231" s="5" t="s">
        <v>20</v>
      </c>
      <c r="I2231" s="5" t="s">
        <v>5405</v>
      </c>
      <c r="J2231" s="12" t="str">
        <f>HYPERLINK("https://www.boe.es/gazeta/dias/1807/02/06/pdfs/GMD-1807-13.pdf#page=4","Abrir facsímil")</f>
        <v>Abrir facsímil</v>
      </c>
      <c r="K2231" s="15" t="s">
        <v>22</v>
      </c>
    </row>
    <row r="2232" spans="1:11" ht="42" customHeight="1">
      <c r="A2232" s="4" t="s">
        <v>5406</v>
      </c>
      <c r="B2232" s="5" t="s">
        <v>5406</v>
      </c>
      <c r="C2232" s="5" t="s">
        <v>49</v>
      </c>
      <c r="D2232" s="5" t="s">
        <v>50</v>
      </c>
      <c r="E2232" s="5" t="s">
        <v>305</v>
      </c>
      <c r="F2232" s="9">
        <v>53</v>
      </c>
      <c r="G2232" s="9">
        <v>627</v>
      </c>
      <c r="H2232" s="5" t="s">
        <v>20</v>
      </c>
      <c r="I2232" s="5" t="s">
        <v>5407</v>
      </c>
      <c r="J2232" s="12" t="str">
        <f>HYPERLINK("https://www.boe.es/gazeta/dias/1807/06/23/pdfs/GMD-1807-53.pdf#page=1","Abrir facsímil")</f>
        <v>Abrir facsímil</v>
      </c>
      <c r="K2232" s="15" t="s">
        <v>22</v>
      </c>
    </row>
    <row r="2233" spans="1:11" ht="42" customHeight="1">
      <c r="A2233" s="4" t="s">
        <v>5408</v>
      </c>
      <c r="B2233" s="5" t="s">
        <v>5409</v>
      </c>
      <c r="C2233" s="5" t="s">
        <v>49</v>
      </c>
      <c r="D2233" s="5" t="s">
        <v>50</v>
      </c>
      <c r="E2233" s="5" t="s">
        <v>86</v>
      </c>
      <c r="F2233" s="9">
        <v>12</v>
      </c>
      <c r="G2233" s="9">
        <v>134</v>
      </c>
      <c r="H2233" s="5" t="s">
        <v>20</v>
      </c>
      <c r="I2233" s="5" t="s">
        <v>5410</v>
      </c>
      <c r="J2233" s="12" t="str">
        <f>HYPERLINK("https://www.boe.es/gazeta/dias/1807/02/03/pdfs/GMD-1807-12.pdf#page=6","Abrir facsímil")</f>
        <v>Abrir facsímil</v>
      </c>
      <c r="K2233" s="15" t="s">
        <v>22</v>
      </c>
    </row>
    <row r="2234" spans="1:11" ht="42" customHeight="1">
      <c r="A2234" s="4" t="s">
        <v>5408</v>
      </c>
      <c r="B2234" s="5" t="s">
        <v>5409</v>
      </c>
      <c r="C2234" s="5" t="s">
        <v>49</v>
      </c>
      <c r="D2234" s="5" t="s">
        <v>50</v>
      </c>
      <c r="E2234" s="5" t="s">
        <v>376</v>
      </c>
      <c r="F2234" s="9">
        <v>19</v>
      </c>
      <c r="G2234" s="9">
        <v>223</v>
      </c>
      <c r="H2234" s="5" t="s">
        <v>20</v>
      </c>
      <c r="I2234" s="5" t="s">
        <v>5411</v>
      </c>
      <c r="J2234" s="12" t="str">
        <f>HYPERLINK("https://www.boe.es/gazeta/dias/1807/02/27/pdfs/GMD-1807-19.pdf#page=7","Abrir facsímil")</f>
        <v>Abrir facsímil</v>
      </c>
      <c r="K2234" s="15" t="s">
        <v>22</v>
      </c>
    </row>
    <row r="2235" spans="1:11" ht="42" customHeight="1">
      <c r="A2235" s="4" t="s">
        <v>5412</v>
      </c>
      <c r="B2235" s="5" t="s">
        <v>5413</v>
      </c>
      <c r="C2235" s="5" t="s">
        <v>34</v>
      </c>
      <c r="D2235" s="5" t="s">
        <v>35</v>
      </c>
      <c r="E2235" s="5" t="s">
        <v>152</v>
      </c>
      <c r="F2235" s="9">
        <v>61</v>
      </c>
      <c r="G2235" s="9">
        <v>720</v>
      </c>
      <c r="H2235" s="5" t="s">
        <v>20</v>
      </c>
      <c r="I2235" s="5" t="s">
        <v>5414</v>
      </c>
      <c r="J2235" s="12" t="str">
        <f>HYPERLINK("https://www.boe.es/gazeta/dias/1807/07/14/pdfs/GMD-1807-61.pdf#page=6","Abrir facsímil")</f>
        <v>Abrir facsímil</v>
      </c>
      <c r="K2235" s="15" t="s">
        <v>22</v>
      </c>
    </row>
    <row r="2236" spans="1:11" ht="42" customHeight="1">
      <c r="A2236" s="4" t="s">
        <v>5415</v>
      </c>
      <c r="B2236" s="5" t="s">
        <v>5416</v>
      </c>
      <c r="C2236" s="5" t="s">
        <v>34</v>
      </c>
      <c r="D2236" s="5" t="s">
        <v>35</v>
      </c>
      <c r="E2236" s="5" t="s">
        <v>441</v>
      </c>
      <c r="F2236" s="9">
        <v>92</v>
      </c>
      <c r="G2236" s="9">
        <v>1068</v>
      </c>
      <c r="H2236" s="5" t="s">
        <v>20</v>
      </c>
      <c r="I2236" s="5" t="s">
        <v>5417</v>
      </c>
      <c r="J2236" s="12" t="str">
        <f>HYPERLINK("https://www.boe.es/gazeta/dias/1807/10/13/pdfs/GMD-1807-92.pdf#page=8","Abrir facsímil")</f>
        <v>Abrir facsímil</v>
      </c>
      <c r="K2236" s="15" t="s">
        <v>22</v>
      </c>
    </row>
    <row r="2237" spans="1:11" ht="42" customHeight="1">
      <c r="A2237" s="4" t="s">
        <v>5418</v>
      </c>
      <c r="B2237" s="5" t="s">
        <v>5418</v>
      </c>
      <c r="C2237" s="5" t="s">
        <v>28</v>
      </c>
      <c r="D2237" s="5" t="s">
        <v>29</v>
      </c>
      <c r="E2237" s="5" t="s">
        <v>186</v>
      </c>
      <c r="F2237" s="9">
        <v>72</v>
      </c>
      <c r="G2237" s="9">
        <v>829</v>
      </c>
      <c r="H2237" s="5" t="s">
        <v>20</v>
      </c>
      <c r="I2237" s="5" t="s">
        <v>5419</v>
      </c>
      <c r="J2237" s="12" t="str">
        <f>HYPERLINK("https://www.boe.es/gazeta/dias/1807/08/11/pdfs/GMD-1807-72.pdf#page=9","Abrir facsímil")</f>
        <v>Abrir facsímil</v>
      </c>
      <c r="K2237" s="15" t="s">
        <v>22</v>
      </c>
    </row>
    <row r="2238" spans="1:11" ht="42" customHeight="1">
      <c r="A2238" s="4" t="s">
        <v>5420</v>
      </c>
      <c r="B2238" s="5" t="s">
        <v>5421</v>
      </c>
      <c r="C2238" s="5" t="s">
        <v>28</v>
      </c>
      <c r="D2238" s="5" t="s">
        <v>29</v>
      </c>
      <c r="E2238" s="5" t="s">
        <v>686</v>
      </c>
      <c r="F2238" s="9">
        <v>106</v>
      </c>
      <c r="G2238" s="9">
        <v>1237</v>
      </c>
      <c r="H2238" s="5" t="s">
        <v>20</v>
      </c>
      <c r="I2238" s="5" t="s">
        <v>5422</v>
      </c>
      <c r="J2238" s="12" t="str">
        <f>HYPERLINK("https://www.boe.es/gazeta/dias/1807/11/27/pdfs/GMD-1807-106.pdf#page=9","Abrir facsímil")</f>
        <v>Abrir facsímil</v>
      </c>
      <c r="K2238" s="15" t="s">
        <v>22</v>
      </c>
    </row>
    <row r="2239" spans="1:11" ht="42" customHeight="1">
      <c r="A2239" s="4" t="s">
        <v>5423</v>
      </c>
      <c r="B2239" s="5" t="s">
        <v>5424</v>
      </c>
      <c r="C2239" s="5" t="s">
        <v>17</v>
      </c>
      <c r="D2239" s="5" t="s">
        <v>18</v>
      </c>
      <c r="E2239" s="5" t="s">
        <v>42</v>
      </c>
      <c r="F2239" s="9">
        <v>31</v>
      </c>
      <c r="G2239" s="9">
        <v>368</v>
      </c>
      <c r="H2239" s="5" t="s">
        <v>20</v>
      </c>
      <c r="I2239" s="5" t="s">
        <v>5425</v>
      </c>
      <c r="J2239" s="12" t="str">
        <f>HYPERLINK("https://www.boe.es/gazeta/dias/1807/04/07/pdfs/GMD-1807-31.pdf#page=8","Abrir facsímil")</f>
        <v>Abrir facsímil</v>
      </c>
      <c r="K2239" s="15" t="s">
        <v>22</v>
      </c>
    </row>
    <row r="2240" spans="1:11" ht="42" customHeight="1">
      <c r="A2240" s="4" t="s">
        <v>5426</v>
      </c>
      <c r="B2240" s="5" t="s">
        <v>5426</v>
      </c>
      <c r="C2240" s="5" t="s">
        <v>34</v>
      </c>
      <c r="D2240" s="5" t="s">
        <v>35</v>
      </c>
      <c r="E2240" s="5" t="s">
        <v>76</v>
      </c>
      <c r="F2240" s="9">
        <v>7</v>
      </c>
      <c r="G2240" s="9">
        <v>74</v>
      </c>
      <c r="H2240" s="5" t="s">
        <v>20</v>
      </c>
      <c r="I2240" s="5" t="s">
        <v>5427</v>
      </c>
      <c r="J2240" s="12" t="str">
        <f>HYPERLINK("https://www.boe.es/gazeta/dias/1807/01/20/pdfs/GMD-1807-7.pdf#page=6","Abrir facsímil")</f>
        <v>Abrir facsímil</v>
      </c>
      <c r="K2240" s="15" t="s">
        <v>22</v>
      </c>
    </row>
    <row r="2241" spans="1:11" ht="42" customHeight="1">
      <c r="A2241" s="4" t="s">
        <v>5428</v>
      </c>
      <c r="B2241" s="5" t="s">
        <v>5429</v>
      </c>
      <c r="C2241" s="5" t="s">
        <v>49</v>
      </c>
      <c r="D2241" s="5" t="s">
        <v>50</v>
      </c>
      <c r="E2241" s="5" t="s">
        <v>79</v>
      </c>
      <c r="F2241" s="9">
        <v>11</v>
      </c>
      <c r="G2241" s="9">
        <v>120</v>
      </c>
      <c r="H2241" s="5" t="s">
        <v>20</v>
      </c>
      <c r="I2241" s="5" t="s">
        <v>5430</v>
      </c>
      <c r="J2241" s="12" t="str">
        <f>HYPERLINK("https://www.boe.es/gazeta/dias/1807/01/30/pdfs/GMD-1807-11.pdf#page=4","Abrir facsímil")</f>
        <v>Abrir facsímil</v>
      </c>
      <c r="K2241" s="15" t="s">
        <v>22</v>
      </c>
    </row>
    <row r="2242" spans="1:11" ht="42" customHeight="1">
      <c r="A2242" s="4" t="s">
        <v>5431</v>
      </c>
      <c r="B2242" s="5" t="s">
        <v>5431</v>
      </c>
      <c r="C2242" s="5" t="s">
        <v>34</v>
      </c>
      <c r="D2242" s="5" t="s">
        <v>35</v>
      </c>
      <c r="E2242" s="5" t="s">
        <v>319</v>
      </c>
      <c r="F2242" s="9">
        <v>54</v>
      </c>
      <c r="G2242" s="9">
        <v>648</v>
      </c>
      <c r="H2242" s="5" t="s">
        <v>20</v>
      </c>
      <c r="I2242" s="5" t="s">
        <v>5432</v>
      </c>
      <c r="J2242" s="12" t="str">
        <f>HYPERLINK("https://www.boe.es/gazeta/dias/1807/06/26/pdfs/GMD-1807-54.pdf#page=10","Abrir facsímil")</f>
        <v>Abrir facsímil</v>
      </c>
      <c r="K2242" s="15" t="s">
        <v>22</v>
      </c>
    </row>
    <row r="2243" spans="1:11" ht="42" customHeight="1">
      <c r="A2243" s="4" t="s">
        <v>5433</v>
      </c>
      <c r="B2243" s="5" t="s">
        <v>5433</v>
      </c>
      <c r="C2243" s="5" t="s">
        <v>28</v>
      </c>
      <c r="D2243" s="5" t="s">
        <v>29</v>
      </c>
      <c r="E2243" s="5" t="s">
        <v>361</v>
      </c>
      <c r="F2243" s="9">
        <v>113</v>
      </c>
      <c r="G2243" s="9">
        <v>1322</v>
      </c>
      <c r="H2243" s="5" t="s">
        <v>20</v>
      </c>
      <c r="I2243" s="5" t="s">
        <v>5434</v>
      </c>
      <c r="J2243" s="12" t="str">
        <f>HYPERLINK("https://www.boe.es/gazeta/dias/1807/12/22/pdfs/GMD-1807-113.pdf#page=10","Abrir facsímil")</f>
        <v>Abrir facsímil</v>
      </c>
      <c r="K2243" s="15" t="s">
        <v>22</v>
      </c>
    </row>
    <row r="2244" spans="1:11" ht="42" customHeight="1">
      <c r="A2244" s="4" t="s">
        <v>5435</v>
      </c>
      <c r="B2244" s="5" t="s">
        <v>5435</v>
      </c>
      <c r="C2244" s="5" t="s">
        <v>24</v>
      </c>
      <c r="D2244" s="5" t="s">
        <v>18</v>
      </c>
      <c r="E2244" s="5" t="s">
        <v>152</v>
      </c>
      <c r="F2244" s="9">
        <v>61</v>
      </c>
      <c r="G2244" s="9">
        <v>723</v>
      </c>
      <c r="H2244" s="5" t="s">
        <v>20</v>
      </c>
      <c r="I2244" s="5" t="s">
        <v>5436</v>
      </c>
      <c r="J2244" s="12" t="str">
        <f>HYPERLINK("https://www.boe.es/gazeta/dias/1807/07/14/pdfs/GMD-1807-61.pdf#page=9","Abrir facsímil")</f>
        <v>Abrir facsímil</v>
      </c>
      <c r="K2244" s="15" t="s">
        <v>22</v>
      </c>
    </row>
    <row r="2245" spans="1:11" ht="42" customHeight="1">
      <c r="A2245" s="4" t="s">
        <v>5435</v>
      </c>
      <c r="B2245" s="5" t="s">
        <v>5435</v>
      </c>
      <c r="C2245" s="5" t="s">
        <v>24</v>
      </c>
      <c r="D2245" s="5" t="s">
        <v>18</v>
      </c>
      <c r="E2245" s="5" t="s">
        <v>167</v>
      </c>
      <c r="F2245" s="9">
        <v>77</v>
      </c>
      <c r="G2245" s="9">
        <v>895</v>
      </c>
      <c r="H2245" s="5" t="s">
        <v>20</v>
      </c>
      <c r="I2245" s="5" t="s">
        <v>5437</v>
      </c>
      <c r="J2245" s="12" t="str">
        <f>HYPERLINK("https://www.boe.es/gazeta/dias/1807/08/28/pdfs/GMD-1807-77.pdf#page=11","Abrir facsímil")</f>
        <v>Abrir facsímil</v>
      </c>
      <c r="K2245" s="15" t="s">
        <v>22</v>
      </c>
    </row>
    <row r="2246" spans="1:11" ht="42" customHeight="1">
      <c r="A2246" s="4" t="s">
        <v>5438</v>
      </c>
      <c r="B2246" s="5" t="s">
        <v>5439</v>
      </c>
      <c r="C2246" s="5" t="s">
        <v>24</v>
      </c>
      <c r="D2246" s="5" t="s">
        <v>18</v>
      </c>
      <c r="E2246" s="5" t="s">
        <v>2914</v>
      </c>
      <c r="F2246" s="9">
        <v>29</v>
      </c>
      <c r="G2246" s="9">
        <v>345</v>
      </c>
      <c r="H2246" s="5" t="s">
        <v>20</v>
      </c>
      <c r="I2246" s="5" t="s">
        <v>5440</v>
      </c>
      <c r="J2246" s="12" t="str">
        <f>HYPERLINK("https://www.boe.es/gazeta/dias/1807/03/31/pdfs/GMD-1807-29.pdf#page=9","Abrir facsímil")</f>
        <v>Abrir facsímil</v>
      </c>
      <c r="K2246" s="15" t="s">
        <v>22</v>
      </c>
    </row>
    <row r="2247" spans="1:11" ht="42" customHeight="1">
      <c r="A2247" s="4" t="s">
        <v>5441</v>
      </c>
      <c r="B2247" s="5" t="s">
        <v>5442</v>
      </c>
      <c r="C2247" s="5" t="s">
        <v>24</v>
      </c>
      <c r="D2247" s="5" t="s">
        <v>18</v>
      </c>
      <c r="E2247" s="5" t="s">
        <v>441</v>
      </c>
      <c r="F2247" s="9">
        <v>92</v>
      </c>
      <c r="G2247" s="9">
        <v>1070</v>
      </c>
      <c r="H2247" s="5" t="s">
        <v>20</v>
      </c>
      <c r="I2247" s="5" t="s">
        <v>5443</v>
      </c>
      <c r="J2247" s="12" t="str">
        <f>HYPERLINK("https://www.boe.es/gazeta/dias/1807/10/13/pdfs/GMD-1807-92.pdf#page=10","Abrir facsímil")</f>
        <v>Abrir facsímil</v>
      </c>
      <c r="K2247" s="15" t="s">
        <v>22</v>
      </c>
    </row>
    <row r="2248" spans="1:11" ht="42" customHeight="1">
      <c r="A2248" s="4" t="s">
        <v>5444</v>
      </c>
      <c r="B2248" s="5" t="s">
        <v>5445</v>
      </c>
      <c r="C2248" s="5" t="s">
        <v>34</v>
      </c>
      <c r="D2248" s="5" t="s">
        <v>35</v>
      </c>
      <c r="E2248" s="5" t="s">
        <v>414</v>
      </c>
      <c r="F2248" s="9">
        <v>40</v>
      </c>
      <c r="G2248" s="9">
        <v>475</v>
      </c>
      <c r="H2248" s="5" t="s">
        <v>20</v>
      </c>
      <c r="I2248" s="5" t="s">
        <v>5446</v>
      </c>
      <c r="J2248" s="12" t="str">
        <f>HYPERLINK("https://www.boe.es/gazeta/dias/1807/05/08/pdfs/GMD-1807-40.pdf#page=5","Abrir facsímil")</f>
        <v>Abrir facsímil</v>
      </c>
      <c r="K2248" s="15" t="s">
        <v>22</v>
      </c>
    </row>
    <row r="2249" spans="1:11" ht="42" customHeight="1">
      <c r="A2249" s="4" t="s">
        <v>5447</v>
      </c>
      <c r="B2249" s="5" t="s">
        <v>5448</v>
      </c>
      <c r="C2249" s="5" t="s">
        <v>34</v>
      </c>
      <c r="D2249" s="5" t="s">
        <v>35</v>
      </c>
      <c r="E2249" s="5" t="s">
        <v>478</v>
      </c>
      <c r="F2249" s="9">
        <v>30</v>
      </c>
      <c r="G2249" s="9">
        <v>357</v>
      </c>
      <c r="H2249" s="5" t="s">
        <v>20</v>
      </c>
      <c r="I2249" s="5" t="s">
        <v>5449</v>
      </c>
      <c r="J2249" s="12" t="str">
        <f>HYPERLINK("https://www.boe.es/gazeta/dias/1807/04/03/pdfs/GMD-1807-30.pdf#page=9","Abrir facsímil")</f>
        <v>Abrir facsímil</v>
      </c>
      <c r="K2249" s="15" t="s">
        <v>22</v>
      </c>
    </row>
    <row r="2250" spans="1:11" ht="42" customHeight="1">
      <c r="A2250" s="4" t="s">
        <v>5450</v>
      </c>
      <c r="B2250" s="5" t="s">
        <v>5451</v>
      </c>
      <c r="C2250" s="5" t="s">
        <v>17</v>
      </c>
      <c r="D2250" s="5" t="s">
        <v>18</v>
      </c>
      <c r="E2250" s="5" t="s">
        <v>114</v>
      </c>
      <c r="F2250" s="9">
        <v>46</v>
      </c>
      <c r="G2250" s="9">
        <v>548</v>
      </c>
      <c r="H2250" s="5" t="s">
        <v>20</v>
      </c>
      <c r="I2250" s="5" t="s">
        <v>5452</v>
      </c>
      <c r="J2250" s="12" t="str">
        <f>HYPERLINK("https://www.boe.es/gazeta/dias/1807/05/29/pdfs/GMD-1807-46.pdf#page=6","Abrir facsímil")</f>
        <v>Abrir facsímil</v>
      </c>
      <c r="K2250" s="15" t="s">
        <v>22</v>
      </c>
    </row>
    <row r="2251" spans="1:11" ht="42" customHeight="1">
      <c r="A2251" s="4" t="s">
        <v>5453</v>
      </c>
      <c r="B2251" s="5" t="s">
        <v>5454</v>
      </c>
      <c r="C2251" s="5" t="s">
        <v>28</v>
      </c>
      <c r="D2251" s="5" t="s">
        <v>29</v>
      </c>
      <c r="E2251" s="5" t="s">
        <v>530</v>
      </c>
      <c r="F2251" s="9">
        <v>79</v>
      </c>
      <c r="G2251" s="9">
        <v>919</v>
      </c>
      <c r="H2251" s="5" t="s">
        <v>20</v>
      </c>
      <c r="I2251" s="5" t="s">
        <v>5455</v>
      </c>
      <c r="J2251" s="12" t="str">
        <f>HYPERLINK("https://www.boe.es/gazeta/dias/1807/09/04/pdfs/GMD-1807-79.pdf#page=11","Abrir facsímil")</f>
        <v>Abrir facsímil</v>
      </c>
      <c r="K2251" s="15" t="s">
        <v>22</v>
      </c>
    </row>
    <row r="2252" spans="1:11" ht="42" customHeight="1">
      <c r="A2252" s="4" t="s">
        <v>5453</v>
      </c>
      <c r="B2252" s="5" t="s">
        <v>5454</v>
      </c>
      <c r="C2252" s="5" t="s">
        <v>28</v>
      </c>
      <c r="D2252" s="5" t="s">
        <v>29</v>
      </c>
      <c r="E2252" s="5" t="s">
        <v>530</v>
      </c>
      <c r="F2252" s="9">
        <v>79</v>
      </c>
      <c r="G2252" s="9">
        <v>920</v>
      </c>
      <c r="H2252" s="5" t="s">
        <v>20</v>
      </c>
      <c r="I2252" s="5" t="s">
        <v>5456</v>
      </c>
      <c r="J2252" s="12" t="str">
        <f>HYPERLINK("https://www.boe.es/gazeta/dias/1807/09/04/pdfs/GMD-1807-79.pdf#page=12","Abrir facsímil")</f>
        <v>Abrir facsímil</v>
      </c>
      <c r="K2252" s="15" t="s">
        <v>22</v>
      </c>
    </row>
    <row r="2253" spans="1:11" ht="42" customHeight="1">
      <c r="A2253" s="4" t="s">
        <v>5457</v>
      </c>
      <c r="B2253" s="5" t="s">
        <v>5458</v>
      </c>
      <c r="C2253" s="5" t="s">
        <v>17</v>
      </c>
      <c r="D2253" s="5" t="s">
        <v>18</v>
      </c>
      <c r="E2253" s="5" t="s">
        <v>139</v>
      </c>
      <c r="F2253" s="9">
        <v>110</v>
      </c>
      <c r="G2253" s="9">
        <v>1284</v>
      </c>
      <c r="H2253" s="5" t="s">
        <v>20</v>
      </c>
      <c r="I2253" s="5" t="s">
        <v>5459</v>
      </c>
      <c r="J2253" s="12" t="str">
        <f>HYPERLINK("https://www.boe.es/gazeta/dias/1807/12/11/pdfs/GMD-1807-110.pdf#page=8","Abrir facsímil")</f>
        <v>Abrir facsímil</v>
      </c>
      <c r="K2253" s="15" t="s">
        <v>22</v>
      </c>
    </row>
    <row r="2254" spans="1:11" ht="42" customHeight="1">
      <c r="A2254" s="4" t="s">
        <v>5460</v>
      </c>
      <c r="B2254" s="5" t="s">
        <v>5461</v>
      </c>
      <c r="C2254" s="5" t="s">
        <v>17</v>
      </c>
      <c r="D2254" s="5" t="s">
        <v>18</v>
      </c>
      <c r="E2254" s="5" t="s">
        <v>418</v>
      </c>
      <c r="F2254" s="9">
        <v>4</v>
      </c>
      <c r="G2254" s="9">
        <v>40</v>
      </c>
      <c r="H2254" s="5" t="s">
        <v>20</v>
      </c>
      <c r="I2254" s="5" t="s">
        <v>5462</v>
      </c>
      <c r="J2254" s="12" t="str">
        <f>HYPERLINK("https://www.boe.es/gazeta/dias/1807/01/13/pdfs/GMD-1807-4.pdf#page=8","Abrir facsímil")</f>
        <v>Abrir facsímil</v>
      </c>
      <c r="K2254" s="15" t="s">
        <v>22</v>
      </c>
    </row>
    <row r="2255" spans="1:11" ht="42" customHeight="1">
      <c r="A2255" s="4" t="s">
        <v>5463</v>
      </c>
      <c r="B2255" s="5" t="s">
        <v>5464</v>
      </c>
      <c r="C2255" s="5" t="s">
        <v>34</v>
      </c>
      <c r="D2255" s="5" t="s">
        <v>35</v>
      </c>
      <c r="E2255" s="5" t="s">
        <v>167</v>
      </c>
      <c r="F2255" s="9">
        <v>77</v>
      </c>
      <c r="G2255" s="9">
        <v>892</v>
      </c>
      <c r="H2255" s="5" t="s">
        <v>20</v>
      </c>
      <c r="I2255" s="5" t="s">
        <v>5465</v>
      </c>
      <c r="J2255" s="12" t="str">
        <f>HYPERLINK("https://www.boe.es/gazeta/dias/1807/08/28/pdfs/GMD-1807-77.pdf#page=8","Abrir facsímil")</f>
        <v>Abrir facsímil</v>
      </c>
      <c r="K2255" s="15" t="s">
        <v>22</v>
      </c>
    </row>
    <row r="2256" spans="1:11" ht="42" customHeight="1">
      <c r="A2256" s="4" t="s">
        <v>5466</v>
      </c>
      <c r="B2256" s="5" t="s">
        <v>5467</v>
      </c>
      <c r="C2256" s="5" t="s">
        <v>34</v>
      </c>
      <c r="D2256" s="5" t="s">
        <v>35</v>
      </c>
      <c r="E2256" s="5" t="s">
        <v>1354</v>
      </c>
      <c r="F2256" s="9">
        <v>83</v>
      </c>
      <c r="G2256" s="9">
        <v>969</v>
      </c>
      <c r="H2256" s="5" t="s">
        <v>20</v>
      </c>
      <c r="I2256" s="5" t="s">
        <v>5468</v>
      </c>
      <c r="J2256" s="12" t="str">
        <f>HYPERLINK("https://www.boe.es/gazeta/dias/1807/09/18/pdfs/GMD-1807-83.pdf#page=9","Abrir facsímil")</f>
        <v>Abrir facsímil</v>
      </c>
      <c r="K2256" s="15" t="s">
        <v>22</v>
      </c>
    </row>
    <row r="2257" spans="1:11" ht="42" customHeight="1">
      <c r="A2257" s="4" t="s">
        <v>5469</v>
      </c>
      <c r="B2257" s="5" t="s">
        <v>5470</v>
      </c>
      <c r="C2257" s="5" t="s">
        <v>34</v>
      </c>
      <c r="D2257" s="5" t="s">
        <v>35</v>
      </c>
      <c r="E2257" s="5" t="s">
        <v>25</v>
      </c>
      <c r="F2257" s="9">
        <v>45</v>
      </c>
      <c r="G2257" s="9">
        <v>536</v>
      </c>
      <c r="H2257" s="5" t="s">
        <v>20</v>
      </c>
      <c r="I2257" s="5" t="s">
        <v>5471</v>
      </c>
      <c r="J2257" s="12" t="str">
        <f>HYPERLINK("https://www.boe.es/gazeta/dias/1807/05/26/pdfs/GMD-1807-45.pdf#page=6","Abrir facsímil")</f>
        <v>Abrir facsímil</v>
      </c>
      <c r="K2257" s="15" t="s">
        <v>22</v>
      </c>
    </row>
    <row r="2258" spans="1:11" ht="42" customHeight="1">
      <c r="A2258" s="4" t="s">
        <v>5472</v>
      </c>
      <c r="B2258" s="5" t="s">
        <v>5473</v>
      </c>
      <c r="C2258" s="5" t="s">
        <v>69</v>
      </c>
      <c r="D2258" s="5" t="s">
        <v>70</v>
      </c>
      <c r="E2258" s="5" t="s">
        <v>71</v>
      </c>
      <c r="F2258" s="9">
        <v>35</v>
      </c>
      <c r="G2258" s="9" t="s">
        <v>72</v>
      </c>
      <c r="H2258" s="5" t="s">
        <v>20</v>
      </c>
      <c r="I2258" s="5" t="s">
        <v>5474</v>
      </c>
      <c r="J2258" s="12" t="str">
        <f>HYPERLINK("https://www.boe.es/gazeta/dias/1807/04/21/pdfs/C00001-00004.pdf#page=1","Abrir facsímil")</f>
        <v>Abrir facsímil</v>
      </c>
      <c r="K2258" s="15" t="s">
        <v>22</v>
      </c>
    </row>
    <row r="2259" spans="1:11" ht="42" customHeight="1">
      <c r="A2259" s="4" t="s">
        <v>5475</v>
      </c>
      <c r="B2259" s="5" t="s">
        <v>5476</v>
      </c>
      <c r="C2259" s="5" t="s">
        <v>34</v>
      </c>
      <c r="D2259" s="5" t="s">
        <v>35</v>
      </c>
      <c r="E2259" s="5" t="s">
        <v>94</v>
      </c>
      <c r="F2259" s="9">
        <v>22</v>
      </c>
      <c r="G2259" s="9">
        <v>255</v>
      </c>
      <c r="H2259" s="5" t="s">
        <v>20</v>
      </c>
      <c r="I2259" s="5" t="s">
        <v>5477</v>
      </c>
      <c r="J2259" s="12" t="str">
        <f>HYPERLINK("https://www.boe.es/gazeta/dias/1807/03/06/pdfs/GMD-1807-22.pdf#page=7","Abrir facsímil")</f>
        <v>Abrir facsímil</v>
      </c>
      <c r="K2259" s="15" t="s">
        <v>22</v>
      </c>
    </row>
    <row r="2260" spans="1:11" ht="42" customHeight="1">
      <c r="A2260" s="4" t="s">
        <v>5478</v>
      </c>
      <c r="B2260" s="5" t="s">
        <v>5478</v>
      </c>
      <c r="C2260" s="5" t="s">
        <v>28</v>
      </c>
      <c r="D2260" s="5" t="s">
        <v>29</v>
      </c>
      <c r="E2260" s="5" t="s">
        <v>406</v>
      </c>
      <c r="F2260" s="9">
        <v>82</v>
      </c>
      <c r="G2260" s="9">
        <v>955</v>
      </c>
      <c r="H2260" s="5" t="s">
        <v>20</v>
      </c>
      <c r="I2260" s="5" t="s">
        <v>5479</v>
      </c>
      <c r="J2260" s="12" t="str">
        <f>HYPERLINK("https://www.boe.es/gazeta/dias/1807/09/15/pdfs/GMD-1807-82.pdf#page=7","Abrir facsímil")</f>
        <v>Abrir facsímil</v>
      </c>
      <c r="K2260" s="15" t="s">
        <v>22</v>
      </c>
    </row>
    <row r="2261" spans="1:11" ht="42" customHeight="1">
      <c r="A2261" s="4" t="s">
        <v>5480</v>
      </c>
      <c r="B2261" s="5" t="s">
        <v>5481</v>
      </c>
      <c r="C2261" s="5" t="s">
        <v>34</v>
      </c>
      <c r="D2261" s="5" t="s">
        <v>35</v>
      </c>
      <c r="E2261" s="5" t="s">
        <v>390</v>
      </c>
      <c r="F2261" s="9">
        <v>24</v>
      </c>
      <c r="G2261" s="9">
        <v>287</v>
      </c>
      <c r="H2261" s="5" t="s">
        <v>20</v>
      </c>
      <c r="I2261" s="5" t="s">
        <v>5482</v>
      </c>
      <c r="J2261" s="12" t="str">
        <f>HYPERLINK("https://www.boe.es/gazeta/dias/1807/03/13/pdfs/GMD-1807-24.pdf#page=11","Abrir facsímil")</f>
        <v>Abrir facsímil</v>
      </c>
      <c r="K2261" s="15" t="s">
        <v>22</v>
      </c>
    </row>
    <row r="2262" spans="1:11" ht="42" customHeight="1">
      <c r="A2262" s="4" t="s">
        <v>5483</v>
      </c>
      <c r="B2262" s="5" t="s">
        <v>5484</v>
      </c>
      <c r="C2262" s="5" t="s">
        <v>34</v>
      </c>
      <c r="D2262" s="5" t="s">
        <v>35</v>
      </c>
      <c r="E2262" s="5" t="s">
        <v>309</v>
      </c>
      <c r="F2262" s="9">
        <v>107</v>
      </c>
      <c r="G2262" s="9">
        <v>1247</v>
      </c>
      <c r="H2262" s="5" t="s">
        <v>20</v>
      </c>
      <c r="I2262" s="5" t="s">
        <v>5485</v>
      </c>
      <c r="J2262" s="12" t="str">
        <f>HYPERLINK("https://www.boe.es/gazeta/dias/1807/12/01/pdfs/GMD-1807-107.pdf#page=7","Abrir facsímil")</f>
        <v>Abrir facsímil</v>
      </c>
      <c r="K2262" s="15" t="s">
        <v>22</v>
      </c>
    </row>
    <row r="2263" spans="1:11" ht="42" customHeight="1">
      <c r="A2263" s="4" t="s">
        <v>5486</v>
      </c>
      <c r="B2263" s="5" t="s">
        <v>5486</v>
      </c>
      <c r="C2263" s="5" t="s">
        <v>34</v>
      </c>
      <c r="D2263" s="5" t="s">
        <v>35</v>
      </c>
      <c r="E2263" s="5" t="s">
        <v>654</v>
      </c>
      <c r="F2263" s="9">
        <v>94</v>
      </c>
      <c r="G2263" s="9">
        <v>1095</v>
      </c>
      <c r="H2263" s="5" t="s">
        <v>20</v>
      </c>
      <c r="I2263" s="5" t="s">
        <v>5487</v>
      </c>
      <c r="J2263" s="12" t="str">
        <f>HYPERLINK("https://www.boe.es/gazeta/dias/1807/10/20/pdfs/GMD-1807-94.pdf#page=11","Abrir facsímil")</f>
        <v>Abrir facsímil</v>
      </c>
      <c r="K2263" s="15" t="s">
        <v>22</v>
      </c>
    </row>
    <row r="2264" spans="1:11" ht="42" customHeight="1">
      <c r="A2264" s="4" t="s">
        <v>5488</v>
      </c>
      <c r="B2264" s="5" t="s">
        <v>5489</v>
      </c>
      <c r="C2264" s="5" t="s">
        <v>34</v>
      </c>
      <c r="D2264" s="5" t="s">
        <v>35</v>
      </c>
      <c r="E2264" s="5" t="s">
        <v>245</v>
      </c>
      <c r="F2264" s="9">
        <v>97</v>
      </c>
      <c r="G2264" s="9">
        <v>1127</v>
      </c>
      <c r="H2264" s="5" t="s">
        <v>20</v>
      </c>
      <c r="I2264" s="5" t="s">
        <v>5490</v>
      </c>
      <c r="J2264" s="12" t="str">
        <f>HYPERLINK("https://www.boe.es/gazeta/dias/1807/10/30/pdfs/GMD-1807-97.pdf#page=7","Abrir facsímil")</f>
        <v>Abrir facsímil</v>
      </c>
      <c r="K2264" s="15" t="s">
        <v>22</v>
      </c>
    </row>
    <row r="2265" spans="1:11" ht="42" customHeight="1">
      <c r="A2265" s="4" t="s">
        <v>5491</v>
      </c>
      <c r="B2265" s="5" t="s">
        <v>5491</v>
      </c>
      <c r="C2265" s="5" t="s">
        <v>28</v>
      </c>
      <c r="D2265" s="5" t="s">
        <v>29</v>
      </c>
      <c r="E2265" s="5" t="s">
        <v>426</v>
      </c>
      <c r="F2265" s="9">
        <v>93</v>
      </c>
      <c r="G2265" s="9">
        <v>1080</v>
      </c>
      <c r="H2265" s="5" t="s">
        <v>20</v>
      </c>
      <c r="I2265" s="5" t="s">
        <v>5492</v>
      </c>
      <c r="J2265" s="12" t="str">
        <f>HYPERLINK("https://www.boe.es/gazeta/dias/1807/10/16/pdfs/GMD-1807-93.pdf#page=8","Abrir facsímil")</f>
        <v>Abrir facsímil</v>
      </c>
      <c r="K2265" s="15" t="s">
        <v>22</v>
      </c>
    </row>
    <row r="2266" spans="1:11" ht="42" customHeight="1">
      <c r="A2266" s="4" t="s">
        <v>5493</v>
      </c>
      <c r="B2266" s="5" t="s">
        <v>5493</v>
      </c>
      <c r="C2266" s="5" t="s">
        <v>28</v>
      </c>
      <c r="D2266" s="5" t="s">
        <v>29</v>
      </c>
      <c r="E2266" s="5" t="s">
        <v>76</v>
      </c>
      <c r="F2266" s="9">
        <v>7</v>
      </c>
      <c r="G2266" s="9">
        <v>78</v>
      </c>
      <c r="H2266" s="5" t="s">
        <v>20</v>
      </c>
      <c r="I2266" s="5" t="s">
        <v>5494</v>
      </c>
      <c r="J2266" s="12" t="str">
        <f>HYPERLINK("https://www.boe.es/gazeta/dias/1807/01/20/pdfs/GMD-1807-7.pdf#page=10","Abrir facsímil")</f>
        <v>Abrir facsímil</v>
      </c>
      <c r="K2266" s="15" t="s">
        <v>22</v>
      </c>
    </row>
    <row r="2267" spans="1:11" ht="42" customHeight="1">
      <c r="A2267" s="4" t="s">
        <v>5493</v>
      </c>
      <c r="B2267" s="5" t="s">
        <v>5493</v>
      </c>
      <c r="C2267" s="5" t="s">
        <v>28</v>
      </c>
      <c r="D2267" s="5" t="s">
        <v>29</v>
      </c>
      <c r="E2267" s="5" t="s">
        <v>94</v>
      </c>
      <c r="F2267" s="9">
        <v>22</v>
      </c>
      <c r="G2267" s="9">
        <v>255</v>
      </c>
      <c r="H2267" s="5" t="s">
        <v>20</v>
      </c>
      <c r="I2267" s="5" t="s">
        <v>5495</v>
      </c>
      <c r="J2267" s="12" t="str">
        <f>HYPERLINK("https://www.boe.es/gazeta/dias/1807/03/06/pdfs/GMD-1807-22.pdf#page=7","Abrir facsímil")</f>
        <v>Abrir facsímil</v>
      </c>
      <c r="K2267" s="15" t="s">
        <v>22</v>
      </c>
    </row>
    <row r="2268" spans="1:11" ht="42" customHeight="1">
      <c r="A2268" s="4" t="s">
        <v>5496</v>
      </c>
      <c r="B2268" s="5" t="s">
        <v>5496</v>
      </c>
      <c r="C2268" s="5" t="s">
        <v>49</v>
      </c>
      <c r="D2268" s="5" t="s">
        <v>50</v>
      </c>
      <c r="E2268" s="5" t="s">
        <v>123</v>
      </c>
      <c r="F2268" s="9">
        <v>70</v>
      </c>
      <c r="G2268" s="9">
        <v>799</v>
      </c>
      <c r="H2268" s="5" t="s">
        <v>20</v>
      </c>
      <c r="I2268" s="5" t="s">
        <v>5497</v>
      </c>
      <c r="J2268" s="12" t="str">
        <f>HYPERLINK("https://www.boe.es/gazeta/dias/1807/08/04/pdfs/GMD-1807-70.pdf#page=3","Abrir facsímil")</f>
        <v>Abrir facsímil</v>
      </c>
      <c r="K2268" s="15" t="s">
        <v>22</v>
      </c>
    </row>
    <row r="2269" spans="1:11" ht="42" customHeight="1">
      <c r="A2269" s="4" t="s">
        <v>5498</v>
      </c>
      <c r="B2269" s="5" t="s">
        <v>5498</v>
      </c>
      <c r="C2269" s="5" t="s">
        <v>49</v>
      </c>
      <c r="D2269" s="5" t="s">
        <v>50</v>
      </c>
      <c r="E2269" s="5" t="s">
        <v>167</v>
      </c>
      <c r="F2269" s="9">
        <v>77</v>
      </c>
      <c r="G2269" s="9">
        <v>889</v>
      </c>
      <c r="H2269" s="5" t="s">
        <v>20</v>
      </c>
      <c r="I2269" s="5" t="s">
        <v>5499</v>
      </c>
      <c r="J2269" s="12" t="str">
        <f>HYPERLINK("https://www.boe.es/gazeta/dias/1807/08/28/pdfs/GMD-1807-77.pdf#page=5","Abrir facsímil")</f>
        <v>Abrir facsímil</v>
      </c>
      <c r="K2269" s="15" t="s">
        <v>22</v>
      </c>
    </row>
    <row r="2270" spans="1:11" ht="42" customHeight="1">
      <c r="A2270" s="4" t="s">
        <v>5500</v>
      </c>
      <c r="B2270" s="5" t="s">
        <v>5501</v>
      </c>
      <c r="C2270" s="5" t="s">
        <v>34</v>
      </c>
      <c r="D2270" s="5" t="s">
        <v>35</v>
      </c>
      <c r="E2270" s="5" t="s">
        <v>666</v>
      </c>
      <c r="F2270" s="9">
        <v>43</v>
      </c>
      <c r="G2270" s="9">
        <v>515</v>
      </c>
      <c r="H2270" s="5" t="s">
        <v>20</v>
      </c>
      <c r="I2270" s="5" t="s">
        <v>5502</v>
      </c>
      <c r="J2270" s="12" t="str">
        <f>HYPERLINK("https://www.boe.es/gazeta/dias/1807/05/19/pdfs/GMD-1807-43.pdf#page=9","Abrir facsímil")</f>
        <v>Abrir facsímil</v>
      </c>
      <c r="K2270" s="15" t="s">
        <v>22</v>
      </c>
    </row>
    <row r="2271" spans="1:11" ht="42" customHeight="1">
      <c r="A2271" s="4" t="s">
        <v>5503</v>
      </c>
      <c r="B2271" s="5" t="s">
        <v>5503</v>
      </c>
      <c r="C2271" s="5" t="s">
        <v>17</v>
      </c>
      <c r="D2271" s="5" t="s">
        <v>18</v>
      </c>
      <c r="E2271" s="5" t="s">
        <v>754</v>
      </c>
      <c r="F2271" s="9">
        <v>103</v>
      </c>
      <c r="G2271" s="9">
        <v>1201</v>
      </c>
      <c r="H2271" s="5" t="s">
        <v>20</v>
      </c>
      <c r="I2271" s="5" t="s">
        <v>5504</v>
      </c>
      <c r="J2271" s="12" t="str">
        <f>HYPERLINK("https://www.boe.es/gazeta/dias/1807/11/20/pdfs/GMD-1807-103.pdf#page=9","Abrir facsímil")</f>
        <v>Abrir facsímil</v>
      </c>
      <c r="K2271" s="15" t="s">
        <v>22</v>
      </c>
    </row>
    <row r="2272" spans="1:11" ht="42" customHeight="1">
      <c r="A2272" s="4" t="s">
        <v>5505</v>
      </c>
      <c r="B2272" s="5" t="s">
        <v>5505</v>
      </c>
      <c r="C2272" s="5" t="s">
        <v>89</v>
      </c>
      <c r="D2272" s="5" t="s">
        <v>90</v>
      </c>
      <c r="E2272" s="5" t="s">
        <v>654</v>
      </c>
      <c r="F2272" s="9">
        <v>94</v>
      </c>
      <c r="G2272" s="9">
        <v>1095</v>
      </c>
      <c r="H2272" s="5" t="s">
        <v>20</v>
      </c>
      <c r="I2272" s="5" t="s">
        <v>5506</v>
      </c>
      <c r="J2272" s="12" t="str">
        <f>HYPERLINK("https://www.boe.es/gazeta/dias/1807/10/20/pdfs/GMD-1807-94.pdf#page=11","Abrir facsímil")</f>
        <v>Abrir facsímil</v>
      </c>
      <c r="K2272" s="15" t="s">
        <v>22</v>
      </c>
    </row>
    <row r="2273" spans="1:11" ht="42" customHeight="1">
      <c r="A2273" s="4" t="s">
        <v>5507</v>
      </c>
      <c r="B2273" s="5" t="s">
        <v>5508</v>
      </c>
      <c r="C2273" s="5" t="s">
        <v>49</v>
      </c>
      <c r="D2273" s="5" t="s">
        <v>50</v>
      </c>
      <c r="E2273" s="5" t="s">
        <v>46</v>
      </c>
      <c r="F2273" s="9">
        <v>78</v>
      </c>
      <c r="G2273" s="9">
        <v>898</v>
      </c>
      <c r="H2273" s="5" t="s">
        <v>20</v>
      </c>
      <c r="I2273" s="5" t="s">
        <v>5509</v>
      </c>
      <c r="J2273" s="12" t="str">
        <f>HYPERLINK("https://www.boe.es/gazeta/dias/1807/09/01/pdfs/GMD-1807-78.pdf#page=2","Abrir facsímil")</f>
        <v>Abrir facsímil</v>
      </c>
      <c r="K2273" s="15" t="s">
        <v>22</v>
      </c>
    </row>
    <row r="2274" spans="1:11" ht="42" customHeight="1">
      <c r="A2274" s="4" t="s">
        <v>5510</v>
      </c>
      <c r="B2274" s="5" t="s">
        <v>5511</v>
      </c>
      <c r="C2274" s="5" t="s">
        <v>49</v>
      </c>
      <c r="D2274" s="5" t="s">
        <v>50</v>
      </c>
      <c r="E2274" s="5" t="s">
        <v>530</v>
      </c>
      <c r="F2274" s="9">
        <v>79</v>
      </c>
      <c r="G2274" s="9">
        <v>916</v>
      </c>
      <c r="H2274" s="5" t="s">
        <v>20</v>
      </c>
      <c r="I2274" s="5" t="s">
        <v>5512</v>
      </c>
      <c r="J2274" s="12" t="str">
        <f>HYPERLINK("https://www.boe.es/gazeta/dias/1807/09/04/pdfs/GMD-1807-79.pdf#page=8","Abrir facsímil")</f>
        <v>Abrir facsímil</v>
      </c>
      <c r="K2274" s="15" t="s">
        <v>22</v>
      </c>
    </row>
    <row r="2275" spans="1:11" ht="42" customHeight="1">
      <c r="A2275" s="4" t="s">
        <v>5513</v>
      </c>
      <c r="B2275" s="5" t="s">
        <v>5513</v>
      </c>
      <c r="C2275" s="5" t="s">
        <v>49</v>
      </c>
      <c r="D2275" s="5" t="s">
        <v>50</v>
      </c>
      <c r="E2275" s="5" t="s">
        <v>42</v>
      </c>
      <c r="F2275" s="9">
        <v>31</v>
      </c>
      <c r="G2275" s="9">
        <v>363</v>
      </c>
      <c r="H2275" s="5" t="s">
        <v>20</v>
      </c>
      <c r="I2275" s="5" t="s">
        <v>5514</v>
      </c>
      <c r="J2275" s="12" t="str">
        <f>HYPERLINK("https://www.boe.es/gazeta/dias/1807/04/07/pdfs/GMD-1807-31.pdf#page=3","Abrir facsímil")</f>
        <v>Abrir facsímil</v>
      </c>
      <c r="K2275" s="15" t="s">
        <v>22</v>
      </c>
    </row>
    <row r="2276" spans="1:11" ht="42" customHeight="1">
      <c r="A2276" s="4" t="s">
        <v>5513</v>
      </c>
      <c r="B2276" s="5" t="s">
        <v>5513</v>
      </c>
      <c r="C2276" s="5" t="s">
        <v>24</v>
      </c>
      <c r="D2276" s="5" t="s">
        <v>18</v>
      </c>
      <c r="E2276" s="5" t="s">
        <v>42</v>
      </c>
      <c r="F2276" s="9">
        <v>31</v>
      </c>
      <c r="G2276" s="9">
        <v>364</v>
      </c>
      <c r="H2276" s="5" t="s">
        <v>20</v>
      </c>
      <c r="I2276" s="5" t="s">
        <v>5515</v>
      </c>
      <c r="J2276" s="12" t="str">
        <f>HYPERLINK("https://www.boe.es/gazeta/dias/1807/04/07/pdfs/GMD-1807-31.pdf#page=4","Abrir facsímil")</f>
        <v>Abrir facsímil</v>
      </c>
      <c r="K2276" s="15" t="s">
        <v>22</v>
      </c>
    </row>
    <row r="2277" spans="1:11" ht="42" customHeight="1">
      <c r="A2277" s="4" t="s">
        <v>5513</v>
      </c>
      <c r="B2277" s="5" t="s">
        <v>5513</v>
      </c>
      <c r="C2277" s="5" t="s">
        <v>49</v>
      </c>
      <c r="D2277" s="5" t="s">
        <v>50</v>
      </c>
      <c r="E2277" s="5" t="s">
        <v>422</v>
      </c>
      <c r="F2277" s="9">
        <v>33</v>
      </c>
      <c r="G2277" s="9">
        <v>389</v>
      </c>
      <c r="H2277" s="5" t="s">
        <v>20</v>
      </c>
      <c r="I2277" s="5" t="s">
        <v>5516</v>
      </c>
      <c r="J2277" s="12" t="str">
        <f>HYPERLINK("https://www.boe.es/gazeta/dias/1807/04/14/pdfs/GMD-1807-33.pdf#page=5","Abrir facsímil")</f>
        <v>Abrir facsímil</v>
      </c>
      <c r="K2277" s="15" t="s">
        <v>22</v>
      </c>
    </row>
    <row r="2278" spans="1:11" ht="42" customHeight="1">
      <c r="A2278" s="4" t="s">
        <v>5513</v>
      </c>
      <c r="B2278" s="5" t="s">
        <v>5513</v>
      </c>
      <c r="C2278" s="5" t="s">
        <v>49</v>
      </c>
      <c r="D2278" s="5" t="s">
        <v>50</v>
      </c>
      <c r="E2278" s="5" t="s">
        <v>71</v>
      </c>
      <c r="F2278" s="9">
        <v>35</v>
      </c>
      <c r="G2278" s="9">
        <v>411</v>
      </c>
      <c r="H2278" s="5" t="s">
        <v>20</v>
      </c>
      <c r="I2278" s="5" t="s">
        <v>5517</v>
      </c>
      <c r="J2278" s="12" t="str">
        <f>HYPERLINK("https://www.boe.es/gazeta/dias/1807/04/21/pdfs/GMD-1807-35.pdf#page=3","Abrir facsímil")</f>
        <v>Abrir facsímil</v>
      </c>
      <c r="K2278" s="15" t="s">
        <v>22</v>
      </c>
    </row>
    <row r="2279" spans="1:11" ht="42" customHeight="1">
      <c r="A2279" s="4" t="s">
        <v>5513</v>
      </c>
      <c r="B2279" s="5" t="s">
        <v>5513</v>
      </c>
      <c r="C2279" s="5" t="s">
        <v>24</v>
      </c>
      <c r="D2279" s="5" t="s">
        <v>18</v>
      </c>
      <c r="E2279" s="5" t="s">
        <v>71</v>
      </c>
      <c r="F2279" s="9">
        <v>35</v>
      </c>
      <c r="G2279" s="9">
        <v>412</v>
      </c>
      <c r="H2279" s="5" t="s">
        <v>20</v>
      </c>
      <c r="I2279" s="5" t="s">
        <v>5518</v>
      </c>
      <c r="J2279" s="12" t="str">
        <f>HYPERLINK("https://www.boe.es/gazeta/dias/1807/04/21/pdfs/GMD-1807-35.pdf#page=4","Abrir facsímil")</f>
        <v>Abrir facsímil</v>
      </c>
      <c r="K2279" s="15" t="s">
        <v>22</v>
      </c>
    </row>
    <row r="2280" spans="1:11" ht="42" customHeight="1">
      <c r="A2280" s="4" t="s">
        <v>5513</v>
      </c>
      <c r="B2280" s="5" t="s">
        <v>5513</v>
      </c>
      <c r="C2280" s="5" t="s">
        <v>28</v>
      </c>
      <c r="D2280" s="5" t="s">
        <v>29</v>
      </c>
      <c r="E2280" s="5" t="s">
        <v>152</v>
      </c>
      <c r="F2280" s="9">
        <v>61</v>
      </c>
      <c r="G2280" s="9">
        <v>726</v>
      </c>
      <c r="H2280" s="5" t="s">
        <v>20</v>
      </c>
      <c r="I2280" s="5" t="s">
        <v>5519</v>
      </c>
      <c r="J2280" s="12" t="str">
        <f>HYPERLINK("https://www.boe.es/gazeta/dias/1807/07/14/pdfs/GMD-1807-61.pdf#page=12","Abrir facsímil")</f>
        <v>Abrir facsímil</v>
      </c>
      <c r="K2280" s="15" t="s">
        <v>22</v>
      </c>
    </row>
    <row r="2281" spans="1:11" ht="42" customHeight="1">
      <c r="A2281" s="4" t="s">
        <v>5513</v>
      </c>
      <c r="B2281" s="5" t="s">
        <v>5513</v>
      </c>
      <c r="C2281" s="5" t="s">
        <v>49</v>
      </c>
      <c r="D2281" s="5" t="s">
        <v>50</v>
      </c>
      <c r="E2281" s="5" t="s">
        <v>530</v>
      </c>
      <c r="F2281" s="9">
        <v>79</v>
      </c>
      <c r="G2281" s="9">
        <v>915</v>
      </c>
      <c r="H2281" s="5" t="s">
        <v>20</v>
      </c>
      <c r="I2281" s="5" t="s">
        <v>5520</v>
      </c>
      <c r="J2281" s="12" t="str">
        <f>HYPERLINK("https://www.boe.es/gazeta/dias/1807/09/04/pdfs/GMD-1807-79.pdf#page=7","Abrir facsímil")</f>
        <v>Abrir facsímil</v>
      </c>
      <c r="K2281" s="15" t="s">
        <v>22</v>
      </c>
    </row>
    <row r="2282" spans="1:11" ht="42" customHeight="1">
      <c r="A2282" s="4" t="s">
        <v>5521</v>
      </c>
      <c r="B2282" s="5" t="s">
        <v>5521</v>
      </c>
      <c r="C2282" s="5" t="s">
        <v>28</v>
      </c>
      <c r="D2282" s="5" t="s">
        <v>29</v>
      </c>
      <c r="E2282" s="5" t="s">
        <v>1340</v>
      </c>
      <c r="F2282" s="9">
        <v>114</v>
      </c>
      <c r="G2282" s="9">
        <v>1331</v>
      </c>
      <c r="H2282" s="5" t="s">
        <v>20</v>
      </c>
      <c r="I2282" s="5" t="s">
        <v>5522</v>
      </c>
      <c r="J2282" s="12" t="str">
        <f>HYPERLINK("https://www.boe.es/gazeta/dias/1807/12/25/pdfs/GMD-1807-114.pdf#page=7","Abrir facsímil")</f>
        <v>Abrir facsímil</v>
      </c>
      <c r="K2282" s="15" t="s">
        <v>22</v>
      </c>
    </row>
    <row r="2283" spans="1:11" ht="42" customHeight="1">
      <c r="A2283" s="4" t="s">
        <v>5523</v>
      </c>
      <c r="B2283" s="5" t="s">
        <v>5523</v>
      </c>
      <c r="C2283" s="5" t="s">
        <v>24</v>
      </c>
      <c r="D2283" s="5" t="s">
        <v>18</v>
      </c>
      <c r="E2283" s="5" t="s">
        <v>98</v>
      </c>
      <c r="F2283" s="9">
        <v>34</v>
      </c>
      <c r="G2283" s="9">
        <v>399</v>
      </c>
      <c r="H2283" s="5" t="s">
        <v>20</v>
      </c>
      <c r="I2283" s="5" t="s">
        <v>5524</v>
      </c>
      <c r="J2283" s="12" t="str">
        <f>HYPERLINK("https://www.boe.es/gazeta/dias/1807/04/17/pdfs/GMD-1807-34.pdf#page=3","Abrir facsímil")</f>
        <v>Abrir facsímil</v>
      </c>
      <c r="K2283" s="15" t="s">
        <v>22</v>
      </c>
    </row>
    <row r="2284" spans="1:11" ht="42" customHeight="1">
      <c r="A2284" s="4" t="s">
        <v>5525</v>
      </c>
      <c r="B2284" s="5" t="s">
        <v>5525</v>
      </c>
      <c r="C2284" s="5" t="s">
        <v>49</v>
      </c>
      <c r="D2284" s="5" t="s">
        <v>50</v>
      </c>
      <c r="E2284" s="5" t="s">
        <v>376</v>
      </c>
      <c r="F2284" s="9">
        <v>19</v>
      </c>
      <c r="G2284" s="9">
        <v>219</v>
      </c>
      <c r="H2284" s="5" t="s">
        <v>20</v>
      </c>
      <c r="I2284" s="5" t="s">
        <v>5526</v>
      </c>
      <c r="J2284" s="12" t="str">
        <f>HYPERLINK("https://www.boe.es/gazeta/dias/1807/02/27/pdfs/GMD-1807-19.pdf#page=3","Abrir facsímil")</f>
        <v>Abrir facsímil</v>
      </c>
      <c r="K2284" s="15" t="s">
        <v>22</v>
      </c>
    </row>
    <row r="2285" spans="1:11" ht="42" customHeight="1">
      <c r="A2285" s="4" t="s">
        <v>5527</v>
      </c>
      <c r="B2285" s="5" t="s">
        <v>5527</v>
      </c>
      <c r="C2285" s="5" t="s">
        <v>49</v>
      </c>
      <c r="D2285" s="5" t="s">
        <v>50</v>
      </c>
      <c r="E2285" s="5" t="s">
        <v>346</v>
      </c>
      <c r="F2285" s="9">
        <v>21</v>
      </c>
      <c r="G2285" s="9">
        <v>240</v>
      </c>
      <c r="H2285" s="5" t="s">
        <v>20</v>
      </c>
      <c r="I2285" s="5" t="s">
        <v>5528</v>
      </c>
      <c r="J2285" s="12" t="str">
        <f>HYPERLINK("https://www.boe.es/gazeta/dias/1807/03/03/pdfs/GMD-1807-21.pdf#page=4","Abrir facsímil")</f>
        <v>Abrir facsímil</v>
      </c>
      <c r="K2285" s="15" t="s">
        <v>22</v>
      </c>
    </row>
    <row r="2286" spans="1:11" ht="42" customHeight="1">
      <c r="A2286" s="4" t="s">
        <v>5527</v>
      </c>
      <c r="B2286" s="5" t="s">
        <v>5527</v>
      </c>
      <c r="C2286" s="5" t="s">
        <v>24</v>
      </c>
      <c r="D2286" s="5" t="s">
        <v>18</v>
      </c>
      <c r="E2286" s="5" t="s">
        <v>3230</v>
      </c>
      <c r="F2286" s="9">
        <v>27</v>
      </c>
      <c r="G2286" s="9">
        <v>321</v>
      </c>
      <c r="H2286" s="5" t="s">
        <v>20</v>
      </c>
      <c r="I2286" s="5" t="s">
        <v>5529</v>
      </c>
      <c r="J2286" s="12" t="str">
        <f>HYPERLINK("https://www.boe.es/gazeta/dias/1807/03/24/pdfs/GMD-1807-27.pdf#page=5","Abrir facsímil")</f>
        <v>Abrir facsímil</v>
      </c>
      <c r="K2286" s="15" t="s">
        <v>22</v>
      </c>
    </row>
    <row r="2287" spans="1:11" ht="42" customHeight="1">
      <c r="A2287" s="4" t="s">
        <v>5527</v>
      </c>
      <c r="B2287" s="5" t="s">
        <v>5527</v>
      </c>
      <c r="C2287" s="5" t="s">
        <v>49</v>
      </c>
      <c r="D2287" s="5" t="s">
        <v>50</v>
      </c>
      <c r="E2287" s="5" t="s">
        <v>42</v>
      </c>
      <c r="F2287" s="9">
        <v>31</v>
      </c>
      <c r="G2287" s="9">
        <v>363</v>
      </c>
      <c r="H2287" s="5" t="s">
        <v>20</v>
      </c>
      <c r="I2287" s="5" t="s">
        <v>5530</v>
      </c>
      <c r="J2287" s="12" t="str">
        <f>HYPERLINK("https://www.boe.es/gazeta/dias/1807/04/07/pdfs/GMD-1807-31.pdf#page=3","Abrir facsímil")</f>
        <v>Abrir facsímil</v>
      </c>
      <c r="K2287" s="15" t="s">
        <v>22</v>
      </c>
    </row>
    <row r="2288" spans="1:11" ht="42" customHeight="1">
      <c r="A2288" s="4" t="s">
        <v>5527</v>
      </c>
      <c r="B2288" s="5" t="s">
        <v>5527</v>
      </c>
      <c r="C2288" s="5" t="s">
        <v>49</v>
      </c>
      <c r="D2288" s="5" t="s">
        <v>50</v>
      </c>
      <c r="E2288" s="5" t="s">
        <v>42</v>
      </c>
      <c r="F2288" s="9">
        <v>31</v>
      </c>
      <c r="G2288" s="9">
        <v>364</v>
      </c>
      <c r="H2288" s="5" t="s">
        <v>20</v>
      </c>
      <c r="I2288" s="5" t="s">
        <v>5531</v>
      </c>
      <c r="J2288" s="12" t="str">
        <f>HYPERLINK("https://www.boe.es/gazeta/dias/1807/04/07/pdfs/GMD-1807-31.pdf#page=4","Abrir facsímil")</f>
        <v>Abrir facsímil</v>
      </c>
      <c r="K2288" s="15" t="s">
        <v>22</v>
      </c>
    </row>
    <row r="2289" spans="1:11" ht="42" customHeight="1">
      <c r="A2289" s="4" t="s">
        <v>5527</v>
      </c>
      <c r="B2289" s="5" t="s">
        <v>5527</v>
      </c>
      <c r="C2289" s="5" t="s">
        <v>49</v>
      </c>
      <c r="D2289" s="5" t="s">
        <v>50</v>
      </c>
      <c r="E2289" s="5" t="s">
        <v>498</v>
      </c>
      <c r="F2289" s="9">
        <v>32</v>
      </c>
      <c r="G2289" s="9">
        <v>375</v>
      </c>
      <c r="H2289" s="5" t="s">
        <v>20</v>
      </c>
      <c r="I2289" s="5" t="s">
        <v>5532</v>
      </c>
      <c r="J2289" s="12" t="str">
        <f>HYPERLINK("https://www.boe.es/gazeta/dias/1807/04/10/pdfs/GMD-1807-32.pdf#page=3","Abrir facsímil")</f>
        <v>Abrir facsímil</v>
      </c>
      <c r="K2289" s="15" t="s">
        <v>22</v>
      </c>
    </row>
    <row r="2290" spans="1:11" ht="42" customHeight="1">
      <c r="A2290" s="4" t="s">
        <v>5527</v>
      </c>
      <c r="B2290" s="5" t="s">
        <v>5527</v>
      </c>
      <c r="C2290" s="5" t="s">
        <v>49</v>
      </c>
      <c r="D2290" s="5" t="s">
        <v>50</v>
      </c>
      <c r="E2290" s="5" t="s">
        <v>498</v>
      </c>
      <c r="F2290" s="9">
        <v>32</v>
      </c>
      <c r="G2290" s="9">
        <v>376</v>
      </c>
      <c r="H2290" s="5" t="s">
        <v>20</v>
      </c>
      <c r="I2290" s="5" t="s">
        <v>5533</v>
      </c>
      <c r="J2290" s="12" t="str">
        <f>HYPERLINK("https://www.boe.es/gazeta/dias/1807/04/10/pdfs/GMD-1807-32.pdf#page=4","Abrir facsímil")</f>
        <v>Abrir facsímil</v>
      </c>
      <c r="K2290" s="15" t="s">
        <v>22</v>
      </c>
    </row>
    <row r="2291" spans="1:11" ht="42" customHeight="1">
      <c r="A2291" s="4" t="s">
        <v>5527</v>
      </c>
      <c r="B2291" s="5" t="s">
        <v>5527</v>
      </c>
      <c r="C2291" s="5" t="s">
        <v>28</v>
      </c>
      <c r="D2291" s="5" t="s">
        <v>29</v>
      </c>
      <c r="E2291" s="5" t="s">
        <v>98</v>
      </c>
      <c r="F2291" s="9">
        <v>34</v>
      </c>
      <c r="G2291" s="9">
        <v>400</v>
      </c>
      <c r="H2291" s="5" t="s">
        <v>20</v>
      </c>
      <c r="I2291" s="5" t="s">
        <v>5534</v>
      </c>
      <c r="J2291" s="12" t="str">
        <f>HYPERLINK("https://www.boe.es/gazeta/dias/1807/04/17/pdfs/GMD-1807-34.pdf#page=4","Abrir facsímil")</f>
        <v>Abrir facsímil</v>
      </c>
      <c r="K2291" s="15" t="s">
        <v>22</v>
      </c>
    </row>
    <row r="2292" spans="1:11" ht="42" customHeight="1">
      <c r="A2292" s="4" t="s">
        <v>5527</v>
      </c>
      <c r="B2292" s="5" t="s">
        <v>5527</v>
      </c>
      <c r="C2292" s="5" t="s">
        <v>49</v>
      </c>
      <c r="D2292" s="5" t="s">
        <v>50</v>
      </c>
      <c r="E2292" s="5" t="s">
        <v>71</v>
      </c>
      <c r="F2292" s="9">
        <v>35</v>
      </c>
      <c r="G2292" s="9">
        <v>411</v>
      </c>
      <c r="H2292" s="5" t="s">
        <v>20</v>
      </c>
      <c r="I2292" s="5" t="s">
        <v>5535</v>
      </c>
      <c r="J2292" s="12" t="str">
        <f>HYPERLINK("https://www.boe.es/gazeta/dias/1807/04/21/pdfs/GMD-1807-35.pdf#page=3","Abrir facsímil")</f>
        <v>Abrir facsímil</v>
      </c>
      <c r="K2292" s="15" t="s">
        <v>22</v>
      </c>
    </row>
    <row r="2293" spans="1:11" ht="42" customHeight="1">
      <c r="A2293" s="4" t="s">
        <v>5527</v>
      </c>
      <c r="B2293" s="5" t="s">
        <v>5527</v>
      </c>
      <c r="C2293" s="5" t="s">
        <v>49</v>
      </c>
      <c r="D2293" s="5" t="s">
        <v>50</v>
      </c>
      <c r="E2293" s="5" t="s">
        <v>71</v>
      </c>
      <c r="F2293" s="9">
        <v>35</v>
      </c>
      <c r="G2293" s="9">
        <v>412</v>
      </c>
      <c r="H2293" s="5" t="s">
        <v>20</v>
      </c>
      <c r="I2293" s="5" t="s">
        <v>5536</v>
      </c>
      <c r="J2293" s="12" t="str">
        <f>HYPERLINK("https://www.boe.es/gazeta/dias/1807/04/21/pdfs/GMD-1807-35.pdf#page=4","Abrir facsímil")</f>
        <v>Abrir facsímil</v>
      </c>
      <c r="K2293" s="15" t="s">
        <v>22</v>
      </c>
    </row>
    <row r="2294" spans="1:11" ht="42" customHeight="1">
      <c r="A2294" s="4" t="s">
        <v>5527</v>
      </c>
      <c r="B2294" s="5" t="s">
        <v>5527</v>
      </c>
      <c r="C2294" s="5" t="s">
        <v>49</v>
      </c>
      <c r="D2294" s="5" t="s">
        <v>50</v>
      </c>
      <c r="E2294" s="5" t="s">
        <v>221</v>
      </c>
      <c r="F2294" s="9">
        <v>73</v>
      </c>
      <c r="G2294" s="9">
        <v>842</v>
      </c>
      <c r="H2294" s="5" t="s">
        <v>20</v>
      </c>
      <c r="I2294" s="5" t="s">
        <v>5537</v>
      </c>
      <c r="J2294" s="12" t="str">
        <f>HYPERLINK("https://www.boe.es/gazeta/dias/1807/08/14/pdfs/GMD-1807-73.pdf#page=6","Abrir facsímil")</f>
        <v>Abrir facsímil</v>
      </c>
      <c r="K2294" s="15" t="s">
        <v>22</v>
      </c>
    </row>
    <row r="2295" spans="1:11" ht="42" customHeight="1">
      <c r="A2295" s="4" t="s">
        <v>5527</v>
      </c>
      <c r="B2295" s="5" t="s">
        <v>5527</v>
      </c>
      <c r="C2295" s="5" t="s">
        <v>89</v>
      </c>
      <c r="D2295" s="5" t="s">
        <v>90</v>
      </c>
      <c r="E2295" s="5" t="s">
        <v>4786</v>
      </c>
      <c r="F2295" s="9" t="s">
        <v>4787</v>
      </c>
      <c r="G2295" s="9">
        <v>1019</v>
      </c>
      <c r="H2295" s="5" t="s">
        <v>20</v>
      </c>
      <c r="I2295" s="5" t="s">
        <v>5538</v>
      </c>
      <c r="J2295" s="12" t="str">
        <f>HYPERLINK("https://www.boe.es/gazeta/dias/1807/09/30/pdfs/GMD-1807-88E.pdf#page=7","Abrir facsímil")</f>
        <v>Abrir facsímil</v>
      </c>
      <c r="K2295" s="15" t="s">
        <v>22</v>
      </c>
    </row>
    <row r="2296" spans="1:11" ht="42" customHeight="1">
      <c r="A2296" s="4" t="s">
        <v>5527</v>
      </c>
      <c r="B2296" s="5" t="s">
        <v>5527</v>
      </c>
      <c r="C2296" s="5" t="s">
        <v>49</v>
      </c>
      <c r="D2296" s="5" t="s">
        <v>50</v>
      </c>
      <c r="E2296" s="5" t="s">
        <v>441</v>
      </c>
      <c r="F2296" s="9">
        <v>92</v>
      </c>
      <c r="G2296" s="9">
        <v>1063</v>
      </c>
      <c r="H2296" s="5" t="s">
        <v>20</v>
      </c>
      <c r="I2296" s="5" t="s">
        <v>5539</v>
      </c>
      <c r="J2296" s="12" t="str">
        <f>HYPERLINK("https://www.boe.es/gazeta/dias/1807/10/13/pdfs/GMD-1807-92.pdf#page=3","Abrir facsímil")</f>
        <v>Abrir facsímil</v>
      </c>
      <c r="K2296" s="15" t="s">
        <v>22</v>
      </c>
    </row>
    <row r="2297" spans="1:11" ht="42" customHeight="1">
      <c r="A2297" s="4" t="s">
        <v>5527</v>
      </c>
      <c r="B2297" s="5" t="s">
        <v>5527</v>
      </c>
      <c r="C2297" s="5" t="s">
        <v>49</v>
      </c>
      <c r="D2297" s="5" t="s">
        <v>50</v>
      </c>
      <c r="E2297" s="5" t="s">
        <v>1076</v>
      </c>
      <c r="F2297" s="9">
        <v>96</v>
      </c>
      <c r="G2297" s="9">
        <v>1110</v>
      </c>
      <c r="H2297" s="5" t="s">
        <v>20</v>
      </c>
      <c r="I2297" s="5" t="s">
        <v>5540</v>
      </c>
      <c r="J2297" s="12" t="str">
        <f>HYPERLINK("https://www.boe.es/gazeta/dias/1807/10/27/pdfs/GMD-1807-96.pdf#page=2","Abrir facsímil")</f>
        <v>Abrir facsímil</v>
      </c>
      <c r="K2297" s="15" t="s">
        <v>22</v>
      </c>
    </row>
    <row r="2298" spans="1:11" ht="42" customHeight="1">
      <c r="A2298" s="4" t="s">
        <v>5541</v>
      </c>
      <c r="B2298" s="5" t="s">
        <v>5541</v>
      </c>
      <c r="C2298" s="5" t="s">
        <v>49</v>
      </c>
      <c r="D2298" s="5" t="s">
        <v>50</v>
      </c>
      <c r="E2298" s="5" t="s">
        <v>86</v>
      </c>
      <c r="F2298" s="9">
        <v>12</v>
      </c>
      <c r="G2298" s="9">
        <v>133</v>
      </c>
      <c r="H2298" s="5" t="s">
        <v>20</v>
      </c>
      <c r="I2298" s="5" t="s">
        <v>5542</v>
      </c>
      <c r="J2298" s="12" t="str">
        <f>HYPERLINK("https://www.boe.es/gazeta/dias/1807/02/03/pdfs/GMD-1807-12.pdf#page=5","Abrir facsímil")</f>
        <v>Abrir facsímil</v>
      </c>
      <c r="K2298" s="15" t="s">
        <v>22</v>
      </c>
    </row>
    <row r="2299" spans="1:11" ht="42" customHeight="1">
      <c r="A2299" s="4" t="s">
        <v>5541</v>
      </c>
      <c r="B2299" s="5" t="s">
        <v>5541</v>
      </c>
      <c r="C2299" s="5" t="s">
        <v>49</v>
      </c>
      <c r="D2299" s="5" t="s">
        <v>50</v>
      </c>
      <c r="E2299" s="5" t="s">
        <v>40</v>
      </c>
      <c r="F2299" s="9">
        <v>26</v>
      </c>
      <c r="G2299" s="9">
        <v>305</v>
      </c>
      <c r="H2299" s="5" t="s">
        <v>20</v>
      </c>
      <c r="I2299" s="5" t="s">
        <v>5543</v>
      </c>
      <c r="J2299" s="12" t="str">
        <f>HYPERLINK("https://www.boe.es/gazeta/dias/1807/03/20/pdfs/GMD-1807-26.pdf#page=1","Abrir facsímil")</f>
        <v>Abrir facsímil</v>
      </c>
      <c r="K2299" s="15" t="s">
        <v>22</v>
      </c>
    </row>
    <row r="2300" spans="1:11" ht="42" customHeight="1">
      <c r="A2300" s="4" t="s">
        <v>5544</v>
      </c>
      <c r="B2300" s="5" t="s">
        <v>5544</v>
      </c>
      <c r="C2300" s="5" t="s">
        <v>34</v>
      </c>
      <c r="D2300" s="5" t="s">
        <v>35</v>
      </c>
      <c r="E2300" s="5" t="s">
        <v>505</v>
      </c>
      <c r="F2300" s="9">
        <v>47</v>
      </c>
      <c r="G2300" s="9">
        <v>557</v>
      </c>
      <c r="H2300" s="5" t="s">
        <v>20</v>
      </c>
      <c r="I2300" s="5" t="s">
        <v>5545</v>
      </c>
      <c r="J2300" s="12" t="str">
        <f>HYPERLINK("https://www.boe.es/gazeta/dias/1807/06/02/pdfs/GMD-1807-47.pdf#page=3","Abrir facsímil")</f>
        <v>Abrir facsímil</v>
      </c>
      <c r="K2300" s="15" t="s">
        <v>22</v>
      </c>
    </row>
    <row r="2301" spans="1:11" ht="42" customHeight="1">
      <c r="A2301" s="4" t="s">
        <v>5546</v>
      </c>
      <c r="B2301" s="5" t="s">
        <v>5546</v>
      </c>
      <c r="C2301" s="5" t="s">
        <v>49</v>
      </c>
      <c r="D2301" s="5" t="s">
        <v>50</v>
      </c>
      <c r="E2301" s="5" t="s">
        <v>79</v>
      </c>
      <c r="F2301" s="9">
        <v>11</v>
      </c>
      <c r="G2301" s="9">
        <v>119</v>
      </c>
      <c r="H2301" s="5" t="s">
        <v>20</v>
      </c>
      <c r="I2301" s="5" t="s">
        <v>5547</v>
      </c>
      <c r="J2301" s="12" t="str">
        <f>HYPERLINK("https://www.boe.es/gazeta/dias/1807/01/30/pdfs/GMD-1807-11.pdf#page=3","Abrir facsímil")</f>
        <v>Abrir facsímil</v>
      </c>
      <c r="K2301" s="15" t="s">
        <v>22</v>
      </c>
    </row>
    <row r="2302" spans="1:11" ht="42" customHeight="1">
      <c r="A2302" s="4" t="s">
        <v>5546</v>
      </c>
      <c r="B2302" s="5" t="s">
        <v>5546</v>
      </c>
      <c r="C2302" s="5" t="s">
        <v>28</v>
      </c>
      <c r="D2302" s="5" t="s">
        <v>29</v>
      </c>
      <c r="E2302" s="5" t="s">
        <v>3230</v>
      </c>
      <c r="F2302" s="9">
        <v>27</v>
      </c>
      <c r="G2302" s="9">
        <v>322</v>
      </c>
      <c r="H2302" s="5" t="s">
        <v>20</v>
      </c>
      <c r="I2302" s="5" t="s">
        <v>5548</v>
      </c>
      <c r="J2302" s="12" t="str">
        <f>HYPERLINK("https://www.boe.es/gazeta/dias/1807/03/24/pdfs/GMD-1807-27.pdf#page=6","Abrir facsímil")</f>
        <v>Abrir facsímil</v>
      </c>
      <c r="K2302" s="15" t="s">
        <v>22</v>
      </c>
    </row>
    <row r="2303" spans="1:11" ht="42" customHeight="1">
      <c r="A2303" s="4" t="s">
        <v>5546</v>
      </c>
      <c r="B2303" s="5" t="s">
        <v>5546</v>
      </c>
      <c r="C2303" s="5" t="s">
        <v>49</v>
      </c>
      <c r="D2303" s="5" t="s">
        <v>50</v>
      </c>
      <c r="E2303" s="5" t="s">
        <v>654</v>
      </c>
      <c r="F2303" s="9">
        <v>94</v>
      </c>
      <c r="G2303" s="9">
        <v>1088</v>
      </c>
      <c r="H2303" s="5" t="s">
        <v>20</v>
      </c>
      <c r="I2303" s="5" t="s">
        <v>5549</v>
      </c>
      <c r="J2303" s="12" t="str">
        <f>HYPERLINK("https://www.boe.es/gazeta/dias/1807/10/20/pdfs/GMD-1807-94.pdf#page=4","Abrir facsímil")</f>
        <v>Abrir facsímil</v>
      </c>
      <c r="K2303" s="15" t="s">
        <v>22</v>
      </c>
    </row>
    <row r="2304" spans="1:11" ht="42" customHeight="1">
      <c r="A2304" s="4" t="s">
        <v>5550</v>
      </c>
      <c r="B2304" s="5" t="s">
        <v>5550</v>
      </c>
      <c r="C2304" s="5" t="s">
        <v>34</v>
      </c>
      <c r="D2304" s="5" t="s">
        <v>35</v>
      </c>
      <c r="E2304" s="5" t="s">
        <v>104</v>
      </c>
      <c r="F2304" s="9">
        <v>25</v>
      </c>
      <c r="G2304" s="9">
        <v>300</v>
      </c>
      <c r="H2304" s="5" t="s">
        <v>20</v>
      </c>
      <c r="I2304" s="5" t="s">
        <v>5551</v>
      </c>
      <c r="J2304" s="12" t="str">
        <f>HYPERLINK("https://www.boe.es/gazeta/dias/1807/03/17/pdfs/GMD-1807-25.pdf#page=8","Abrir facsímil")</f>
        <v>Abrir facsímil</v>
      </c>
      <c r="K2304" s="15" t="s">
        <v>22</v>
      </c>
    </row>
    <row r="2305" spans="1:11" ht="42" customHeight="1">
      <c r="A2305" s="4" t="s">
        <v>5552</v>
      </c>
      <c r="B2305" s="5" t="s">
        <v>5553</v>
      </c>
      <c r="C2305" s="5" t="s">
        <v>34</v>
      </c>
      <c r="D2305" s="5" t="s">
        <v>35</v>
      </c>
      <c r="E2305" s="5" t="s">
        <v>441</v>
      </c>
      <c r="F2305" s="9">
        <v>92</v>
      </c>
      <c r="G2305" s="9">
        <v>1071</v>
      </c>
      <c r="H2305" s="5" t="s">
        <v>20</v>
      </c>
      <c r="I2305" s="5" t="s">
        <v>5554</v>
      </c>
      <c r="J2305" s="12" t="str">
        <f>HYPERLINK("https://www.boe.es/gazeta/dias/1807/10/13/pdfs/GMD-1807-92.pdf#page=11","Abrir facsímil")</f>
        <v>Abrir facsímil</v>
      </c>
      <c r="K2305" s="15" t="s">
        <v>22</v>
      </c>
    </row>
    <row r="2306" spans="1:11" ht="42" customHeight="1">
      <c r="A2306" s="4" t="s">
        <v>5555</v>
      </c>
      <c r="B2306" s="5" t="s">
        <v>5556</v>
      </c>
      <c r="C2306" s="5" t="s">
        <v>34</v>
      </c>
      <c r="D2306" s="5" t="s">
        <v>35</v>
      </c>
      <c r="E2306" s="5" t="s">
        <v>127</v>
      </c>
      <c r="F2306" s="9">
        <v>81</v>
      </c>
      <c r="G2306" s="9">
        <v>946</v>
      </c>
      <c r="H2306" s="5" t="s">
        <v>20</v>
      </c>
      <c r="I2306" s="5" t="s">
        <v>5557</v>
      </c>
      <c r="J2306" s="12" t="str">
        <f>HYPERLINK("https://www.boe.es/gazeta/dias/1807/09/11/pdfs/GMD-1807-81.pdf#page=10","Abrir facsímil")</f>
        <v>Abrir facsímil</v>
      </c>
      <c r="K2306" s="15" t="s">
        <v>22</v>
      </c>
    </row>
    <row r="2307" spans="1:11" ht="42" customHeight="1">
      <c r="A2307" s="4" t="s">
        <v>5558</v>
      </c>
      <c r="B2307" s="5" t="s">
        <v>5559</v>
      </c>
      <c r="C2307" s="5" t="s">
        <v>49</v>
      </c>
      <c r="D2307" s="5" t="s">
        <v>50</v>
      </c>
      <c r="E2307" s="5" t="s">
        <v>79</v>
      </c>
      <c r="F2307" s="9">
        <v>11</v>
      </c>
      <c r="G2307" s="9">
        <v>118</v>
      </c>
      <c r="H2307" s="5" t="s">
        <v>20</v>
      </c>
      <c r="I2307" s="5" t="s">
        <v>5560</v>
      </c>
      <c r="J2307" s="12" t="str">
        <f>HYPERLINK("https://www.boe.es/gazeta/dias/1807/01/30/pdfs/GMD-1807-11.pdf#page=2","Abrir facsímil")</f>
        <v>Abrir facsímil</v>
      </c>
      <c r="K2307" s="15" t="s">
        <v>22</v>
      </c>
    </row>
    <row r="2308" spans="1:11" ht="42" customHeight="1">
      <c r="A2308" s="4" t="s">
        <v>5558</v>
      </c>
      <c r="B2308" s="5" t="s">
        <v>5559</v>
      </c>
      <c r="C2308" s="5" t="s">
        <v>49</v>
      </c>
      <c r="D2308" s="5" t="s">
        <v>50</v>
      </c>
      <c r="E2308" s="5" t="s">
        <v>346</v>
      </c>
      <c r="F2308" s="9">
        <v>21</v>
      </c>
      <c r="G2308" s="9">
        <v>240</v>
      </c>
      <c r="H2308" s="5" t="s">
        <v>20</v>
      </c>
      <c r="I2308" s="5" t="s">
        <v>5561</v>
      </c>
      <c r="J2308" s="12" t="str">
        <f>HYPERLINK("https://www.boe.es/gazeta/dias/1807/03/03/pdfs/GMD-1807-21.pdf#page=4","Abrir facsímil")</f>
        <v>Abrir facsímil</v>
      </c>
      <c r="K2308" s="15" t="s">
        <v>22</v>
      </c>
    </row>
    <row r="2309" spans="1:11" ht="42" customHeight="1">
      <c r="A2309" s="4" t="s">
        <v>5558</v>
      </c>
      <c r="B2309" s="5" t="s">
        <v>5559</v>
      </c>
      <c r="C2309" s="5" t="s">
        <v>49</v>
      </c>
      <c r="D2309" s="5" t="s">
        <v>50</v>
      </c>
      <c r="E2309" s="5" t="s">
        <v>478</v>
      </c>
      <c r="F2309" s="9">
        <v>30</v>
      </c>
      <c r="G2309" s="9">
        <v>355</v>
      </c>
      <c r="H2309" s="5" t="s">
        <v>20</v>
      </c>
      <c r="I2309" s="5" t="s">
        <v>5562</v>
      </c>
      <c r="J2309" s="12" t="str">
        <f>HYPERLINK("https://www.boe.es/gazeta/dias/1807/04/03/pdfs/GMD-1807-30.pdf#page=7","Abrir facsímil")</f>
        <v>Abrir facsímil</v>
      </c>
      <c r="K2309" s="15" t="s">
        <v>22</v>
      </c>
    </row>
    <row r="2310" spans="1:11" ht="42" customHeight="1">
      <c r="A2310" s="4" t="s">
        <v>5558</v>
      </c>
      <c r="B2310" s="5" t="s">
        <v>5559</v>
      </c>
      <c r="C2310" s="5" t="s">
        <v>34</v>
      </c>
      <c r="D2310" s="5" t="s">
        <v>35</v>
      </c>
      <c r="E2310" s="5" t="s">
        <v>221</v>
      </c>
      <c r="F2310" s="9">
        <v>73</v>
      </c>
      <c r="G2310" s="9">
        <v>839</v>
      </c>
      <c r="H2310" s="5" t="s">
        <v>20</v>
      </c>
      <c r="I2310" s="5" t="s">
        <v>5563</v>
      </c>
      <c r="J2310" s="12" t="str">
        <f>HYPERLINK("https://www.boe.es/gazeta/dias/1807/08/14/pdfs/GMD-1807-73.pdf#page=3","Abrir facsímil")</f>
        <v>Abrir facsímil</v>
      </c>
      <c r="K2310" s="15" t="s">
        <v>22</v>
      </c>
    </row>
    <row r="2311" spans="1:11" ht="42" customHeight="1">
      <c r="A2311" s="4" t="s">
        <v>5564</v>
      </c>
      <c r="B2311" s="5" t="s">
        <v>5565</v>
      </c>
      <c r="C2311" s="5" t="s">
        <v>34</v>
      </c>
      <c r="D2311" s="5" t="s">
        <v>35</v>
      </c>
      <c r="E2311" s="5" t="s">
        <v>62</v>
      </c>
      <c r="F2311" s="9">
        <v>68</v>
      </c>
      <c r="G2311" s="9">
        <v>778</v>
      </c>
      <c r="H2311" s="5" t="s">
        <v>20</v>
      </c>
      <c r="I2311" s="5" t="s">
        <v>5566</v>
      </c>
      <c r="J2311" s="12" t="str">
        <f>HYPERLINK("https://www.boe.es/gazeta/dias/1807/07/31/pdfs/GMD-1807-68.pdf#page=2","Abrir facsímil")</f>
        <v>Abrir facsímil</v>
      </c>
      <c r="K2311" s="15" t="s">
        <v>22</v>
      </c>
    </row>
    <row r="2312" spans="1:11" ht="42" customHeight="1">
      <c r="A2312" s="4" t="s">
        <v>5567</v>
      </c>
      <c r="B2312" s="5" t="s">
        <v>5568</v>
      </c>
      <c r="C2312" s="5" t="s">
        <v>49</v>
      </c>
      <c r="D2312" s="5" t="s">
        <v>50</v>
      </c>
      <c r="E2312" s="5" t="s">
        <v>390</v>
      </c>
      <c r="F2312" s="9">
        <v>24</v>
      </c>
      <c r="G2312" s="9">
        <v>281</v>
      </c>
      <c r="H2312" s="5" t="s">
        <v>20</v>
      </c>
      <c r="I2312" s="5" t="s">
        <v>5569</v>
      </c>
      <c r="J2312" s="12" t="str">
        <f>HYPERLINK("https://www.boe.es/gazeta/dias/1807/03/13/pdfs/GMD-1807-24.pdf#page=5","Abrir facsímil")</f>
        <v>Abrir facsímil</v>
      </c>
      <c r="K2312" s="15" t="s">
        <v>22</v>
      </c>
    </row>
    <row r="2313" spans="1:11" ht="42" customHeight="1">
      <c r="A2313" s="4" t="s">
        <v>5570</v>
      </c>
      <c r="B2313" s="5" t="s">
        <v>5571</v>
      </c>
      <c r="C2313" s="5" t="s">
        <v>49</v>
      </c>
      <c r="D2313" s="5" t="s">
        <v>50</v>
      </c>
      <c r="E2313" s="5" t="s">
        <v>30</v>
      </c>
      <c r="F2313" s="9">
        <v>13</v>
      </c>
      <c r="G2313" s="9">
        <v>144</v>
      </c>
      <c r="H2313" s="5" t="s">
        <v>20</v>
      </c>
      <c r="I2313" s="5" t="s">
        <v>5572</v>
      </c>
      <c r="J2313" s="12" t="str">
        <f>HYPERLINK("https://www.boe.es/gazeta/dias/1807/02/06/pdfs/GMD-1807-13.pdf#page=4","Abrir facsímil")</f>
        <v>Abrir facsímil</v>
      </c>
      <c r="K2313" s="15" t="s">
        <v>22</v>
      </c>
    </row>
    <row r="2314" spans="1:11" ht="42" customHeight="1">
      <c r="A2314" s="4" t="s">
        <v>5573</v>
      </c>
      <c r="B2314" s="5" t="s">
        <v>5574</v>
      </c>
      <c r="C2314" s="5" t="s">
        <v>24</v>
      </c>
      <c r="D2314" s="5" t="s">
        <v>18</v>
      </c>
      <c r="E2314" s="5" t="s">
        <v>208</v>
      </c>
      <c r="F2314" s="9">
        <v>42</v>
      </c>
      <c r="G2314" s="9">
        <v>504</v>
      </c>
      <c r="H2314" s="5" t="s">
        <v>20</v>
      </c>
      <c r="I2314" s="5" t="s">
        <v>5575</v>
      </c>
      <c r="J2314" s="12" t="str">
        <f>HYPERLINK("https://www.boe.es/gazeta/dias/1807/05/15/pdfs/GMD-1807-42.pdf#page=10","Abrir facsímil")</f>
        <v>Abrir facsímil</v>
      </c>
      <c r="K2314" s="15" t="s">
        <v>22</v>
      </c>
    </row>
    <row r="2315" spans="1:11" ht="42" customHeight="1">
      <c r="A2315" s="4" t="s">
        <v>5576</v>
      </c>
      <c r="B2315" s="5" t="s">
        <v>5576</v>
      </c>
      <c r="C2315" s="5" t="s">
        <v>28</v>
      </c>
      <c r="D2315" s="5" t="s">
        <v>29</v>
      </c>
      <c r="E2315" s="5" t="s">
        <v>120</v>
      </c>
      <c r="F2315" s="9">
        <v>10</v>
      </c>
      <c r="G2315" s="9">
        <v>110</v>
      </c>
      <c r="H2315" s="5" t="s">
        <v>20</v>
      </c>
      <c r="I2315" s="5" t="s">
        <v>5577</v>
      </c>
      <c r="J2315" s="12" t="str">
        <f>HYPERLINK("https://www.boe.es/gazeta/dias/1807/01/27/pdfs/GMD-1807-10.pdf#page=6","Abrir facsímil")</f>
        <v>Abrir facsímil</v>
      </c>
      <c r="K2315" s="15" t="s">
        <v>22</v>
      </c>
    </row>
    <row r="2316" spans="1:11" ht="42" customHeight="1">
      <c r="A2316" s="4" t="s">
        <v>5578</v>
      </c>
      <c r="B2316" s="5" t="s">
        <v>5578</v>
      </c>
      <c r="C2316" s="5" t="s">
        <v>34</v>
      </c>
      <c r="D2316" s="5" t="s">
        <v>35</v>
      </c>
      <c r="E2316" s="5" t="s">
        <v>98</v>
      </c>
      <c r="F2316" s="9">
        <v>34</v>
      </c>
      <c r="G2316" s="9">
        <v>398</v>
      </c>
      <c r="H2316" s="5" t="s">
        <v>20</v>
      </c>
      <c r="I2316" s="5" t="s">
        <v>5579</v>
      </c>
      <c r="J2316" s="12" t="str">
        <f>HYPERLINK("https://www.boe.es/gazeta/dias/1807/04/17/pdfs/GMD-1807-34.pdf#page=2","Abrir facsímil")</f>
        <v>Abrir facsímil</v>
      </c>
      <c r="K2316" s="15" t="s">
        <v>22</v>
      </c>
    </row>
    <row r="2317" spans="1:11" ht="42" customHeight="1">
      <c r="A2317" s="4" t="s">
        <v>5580</v>
      </c>
      <c r="B2317" s="5" t="s">
        <v>5580</v>
      </c>
      <c r="C2317" s="5" t="s">
        <v>49</v>
      </c>
      <c r="D2317" s="5" t="s">
        <v>50</v>
      </c>
      <c r="E2317" s="5" t="s">
        <v>478</v>
      </c>
      <c r="F2317" s="9">
        <v>30</v>
      </c>
      <c r="G2317" s="9">
        <v>355</v>
      </c>
      <c r="H2317" s="5" t="s">
        <v>20</v>
      </c>
      <c r="I2317" s="5" t="s">
        <v>5581</v>
      </c>
      <c r="J2317" s="12" t="str">
        <f>HYPERLINK("https://www.boe.es/gazeta/dias/1807/04/03/pdfs/GMD-1807-30.pdf#page=7","Abrir facsímil")</f>
        <v>Abrir facsímil</v>
      </c>
      <c r="K2317" s="15" t="s">
        <v>22</v>
      </c>
    </row>
    <row r="2318" spans="1:11" ht="42" customHeight="1">
      <c r="A2318" s="4" t="s">
        <v>5582</v>
      </c>
      <c r="B2318" s="5" t="s">
        <v>5583</v>
      </c>
      <c r="C2318" s="5" t="s">
        <v>28</v>
      </c>
      <c r="D2318" s="5" t="s">
        <v>29</v>
      </c>
      <c r="E2318" s="5" t="s">
        <v>53</v>
      </c>
      <c r="F2318" s="9">
        <v>64</v>
      </c>
      <c r="G2318" s="9">
        <v>749</v>
      </c>
      <c r="H2318" s="5" t="s">
        <v>20</v>
      </c>
      <c r="I2318" s="5" t="s">
        <v>5584</v>
      </c>
      <c r="J2318" s="12" t="str">
        <f>HYPERLINK("https://www.boe.es/gazeta/dias/1807/07/21/pdfs/GMD-1807-64.pdf#page=11","Abrir facsímil")</f>
        <v>Abrir facsímil</v>
      </c>
      <c r="K2318" s="15" t="s">
        <v>22</v>
      </c>
    </row>
    <row r="2319" spans="1:11" ht="42" customHeight="1">
      <c r="A2319" s="4" t="s">
        <v>5585</v>
      </c>
      <c r="B2319" s="5" t="s">
        <v>5586</v>
      </c>
      <c r="C2319" s="5" t="s">
        <v>34</v>
      </c>
      <c r="D2319" s="5" t="s">
        <v>35</v>
      </c>
      <c r="E2319" s="5" t="s">
        <v>109</v>
      </c>
      <c r="F2319" s="9">
        <v>58</v>
      </c>
      <c r="G2319" s="9">
        <v>688</v>
      </c>
      <c r="H2319" s="5" t="s">
        <v>20</v>
      </c>
      <c r="I2319" s="5" t="s">
        <v>5587</v>
      </c>
      <c r="J2319" s="12" t="str">
        <f>HYPERLINK("https://www.boe.es/gazeta/dias/1807/07/07/pdfs/GMD-1807-58.pdf#page=6","Abrir facsímil")</f>
        <v>Abrir facsímil</v>
      </c>
      <c r="K2319" s="15" t="s">
        <v>22</v>
      </c>
    </row>
    <row r="2320" spans="1:11" ht="42" customHeight="1">
      <c r="A2320" s="4" t="s">
        <v>5588</v>
      </c>
      <c r="B2320" s="5" t="s">
        <v>5589</v>
      </c>
      <c r="C2320" s="5" t="s">
        <v>28</v>
      </c>
      <c r="D2320" s="5" t="s">
        <v>29</v>
      </c>
      <c r="E2320" s="5" t="s">
        <v>104</v>
      </c>
      <c r="F2320" s="9">
        <v>25</v>
      </c>
      <c r="G2320" s="9">
        <v>302</v>
      </c>
      <c r="H2320" s="5" t="s">
        <v>20</v>
      </c>
      <c r="I2320" s="5" t="s">
        <v>5590</v>
      </c>
      <c r="J2320" s="12" t="str">
        <f>HYPERLINK("https://www.boe.es/gazeta/dias/1807/03/17/pdfs/GMD-1807-25.pdf#page=10","Abrir facsímil")</f>
        <v>Abrir facsímil</v>
      </c>
      <c r="K2320" s="15" t="s">
        <v>22</v>
      </c>
    </row>
    <row r="2321" spans="1:11" ht="42" customHeight="1">
      <c r="A2321" s="4" t="s">
        <v>5588</v>
      </c>
      <c r="B2321" s="5" t="s">
        <v>5589</v>
      </c>
      <c r="C2321" s="5" t="s">
        <v>24</v>
      </c>
      <c r="D2321" s="5" t="s">
        <v>18</v>
      </c>
      <c r="E2321" s="5" t="s">
        <v>754</v>
      </c>
      <c r="F2321" s="9">
        <v>103</v>
      </c>
      <c r="G2321" s="9">
        <v>1204</v>
      </c>
      <c r="H2321" s="5" t="s">
        <v>20</v>
      </c>
      <c r="I2321" s="5" t="s">
        <v>5591</v>
      </c>
      <c r="J2321" s="12" t="str">
        <f>HYPERLINK("https://www.boe.es/gazeta/dias/1807/11/20/pdfs/GMD-1807-103.pdf#page=12","Abrir facsímil")</f>
        <v>Abrir facsímil</v>
      </c>
      <c r="K2321" s="15" t="s">
        <v>22</v>
      </c>
    </row>
    <row r="2322" spans="1:11" ht="42" customHeight="1">
      <c r="A2322" s="4" t="s">
        <v>5592</v>
      </c>
      <c r="B2322" s="5" t="s">
        <v>5593</v>
      </c>
      <c r="C2322" s="5" t="s">
        <v>24</v>
      </c>
      <c r="D2322" s="5" t="s">
        <v>18</v>
      </c>
      <c r="E2322" s="5" t="s">
        <v>53</v>
      </c>
      <c r="F2322" s="9">
        <v>64</v>
      </c>
      <c r="G2322" s="9">
        <v>749</v>
      </c>
      <c r="H2322" s="5" t="s">
        <v>20</v>
      </c>
      <c r="I2322" s="5" t="s">
        <v>5594</v>
      </c>
      <c r="J2322" s="12" t="str">
        <f>HYPERLINK("https://www.boe.es/gazeta/dias/1807/07/21/pdfs/GMD-1807-64.pdf#page=11","Abrir facsímil")</f>
        <v>Abrir facsímil</v>
      </c>
      <c r="K2322" s="15" t="s">
        <v>22</v>
      </c>
    </row>
    <row r="2323" spans="1:11" ht="42" customHeight="1">
      <c r="A2323" s="4" t="s">
        <v>5595</v>
      </c>
      <c r="B2323" s="5" t="s">
        <v>5596</v>
      </c>
      <c r="C2323" s="5" t="s">
        <v>89</v>
      </c>
      <c r="D2323" s="5" t="s">
        <v>90</v>
      </c>
      <c r="E2323" s="5" t="s">
        <v>219</v>
      </c>
      <c r="F2323" s="9">
        <v>56</v>
      </c>
      <c r="G2323" s="9">
        <v>673</v>
      </c>
      <c r="H2323" s="5" t="s">
        <v>20</v>
      </c>
      <c r="I2323" s="5" t="s">
        <v>5597</v>
      </c>
      <c r="J2323" s="12" t="str">
        <f>HYPERLINK("https://www.boe.es/gazeta/dias/1807/07/03/pdfs/GMD-1807-56.pdf#page=11","Abrir facsímil")</f>
        <v>Abrir facsímil</v>
      </c>
      <c r="K2323" s="15" t="s">
        <v>22</v>
      </c>
    </row>
    <row r="2324" spans="1:11" ht="42" customHeight="1">
      <c r="A2324" s="4" t="s">
        <v>5598</v>
      </c>
      <c r="B2324" s="5" t="s">
        <v>5598</v>
      </c>
      <c r="C2324" s="5" t="s">
        <v>28</v>
      </c>
      <c r="D2324" s="5" t="s">
        <v>29</v>
      </c>
      <c r="E2324" s="5" t="s">
        <v>98</v>
      </c>
      <c r="F2324" s="9">
        <v>34</v>
      </c>
      <c r="G2324" s="9">
        <v>400</v>
      </c>
      <c r="H2324" s="5" t="s">
        <v>20</v>
      </c>
      <c r="I2324" s="5" t="s">
        <v>5599</v>
      </c>
      <c r="J2324" s="12" t="str">
        <f>HYPERLINK("https://www.boe.es/gazeta/dias/1807/04/17/pdfs/GMD-1807-34.pdf#page=4","Abrir facsímil")</f>
        <v>Abrir facsímil</v>
      </c>
      <c r="K2324" s="15" t="s">
        <v>22</v>
      </c>
    </row>
    <row r="2325" spans="1:11" ht="42" customHeight="1">
      <c r="A2325" s="4" t="s">
        <v>5598</v>
      </c>
      <c r="B2325" s="5" t="s">
        <v>5598</v>
      </c>
      <c r="C2325" s="5" t="s">
        <v>24</v>
      </c>
      <c r="D2325" s="5" t="s">
        <v>18</v>
      </c>
      <c r="E2325" s="5" t="s">
        <v>123</v>
      </c>
      <c r="F2325" s="9">
        <v>70</v>
      </c>
      <c r="G2325" s="9">
        <v>799</v>
      </c>
      <c r="H2325" s="5" t="s">
        <v>20</v>
      </c>
      <c r="I2325" s="5" t="s">
        <v>5600</v>
      </c>
      <c r="J2325" s="12" t="str">
        <f>HYPERLINK("https://www.boe.es/gazeta/dias/1807/08/04/pdfs/GMD-1807-70.pdf#page=3","Abrir facsímil")</f>
        <v>Abrir facsímil</v>
      </c>
      <c r="K2325" s="15" t="s">
        <v>22</v>
      </c>
    </row>
    <row r="2326" spans="1:11" ht="42" customHeight="1">
      <c r="A2326" s="4" t="s">
        <v>5601</v>
      </c>
      <c r="B2326" s="5" t="s">
        <v>5602</v>
      </c>
      <c r="C2326" s="5" t="s">
        <v>49</v>
      </c>
      <c r="D2326" s="5" t="s">
        <v>50</v>
      </c>
      <c r="E2326" s="5" t="s">
        <v>376</v>
      </c>
      <c r="F2326" s="9">
        <v>19</v>
      </c>
      <c r="G2326" s="9">
        <v>219</v>
      </c>
      <c r="H2326" s="5" t="s">
        <v>20</v>
      </c>
      <c r="I2326" s="5" t="s">
        <v>5603</v>
      </c>
      <c r="J2326" s="12" t="str">
        <f>HYPERLINK("https://www.boe.es/gazeta/dias/1807/02/27/pdfs/GMD-1807-19.pdf#page=3","Abrir facsímil")</f>
        <v>Abrir facsímil</v>
      </c>
      <c r="K2326" s="15" t="s">
        <v>22</v>
      </c>
    </row>
    <row r="2327" spans="1:11" ht="42" customHeight="1">
      <c r="A2327" s="4" t="s">
        <v>5604</v>
      </c>
      <c r="B2327" s="5" t="s">
        <v>5605</v>
      </c>
      <c r="C2327" s="5" t="s">
        <v>24</v>
      </c>
      <c r="D2327" s="5" t="s">
        <v>18</v>
      </c>
      <c r="E2327" s="5" t="s">
        <v>156</v>
      </c>
      <c r="F2327" s="9">
        <v>74</v>
      </c>
      <c r="G2327" s="9">
        <v>855</v>
      </c>
      <c r="H2327" s="5" t="s">
        <v>20</v>
      </c>
      <c r="I2327" s="5" t="s">
        <v>5606</v>
      </c>
      <c r="J2327" s="12" t="str">
        <f>HYPERLINK("https://www.boe.es/gazeta/dias/1807/08/18/pdfs/GMD-1807-74.pdf#page=7","Abrir facsímil")</f>
        <v>Abrir facsímil</v>
      </c>
      <c r="K2327" s="15" t="s">
        <v>22</v>
      </c>
    </row>
    <row r="2328" spans="1:11" ht="42" customHeight="1">
      <c r="A2328" s="4" t="s">
        <v>5607</v>
      </c>
      <c r="B2328" s="5" t="s">
        <v>5608</v>
      </c>
      <c r="C2328" s="5" t="s">
        <v>34</v>
      </c>
      <c r="D2328" s="5" t="s">
        <v>35</v>
      </c>
      <c r="E2328" s="5" t="s">
        <v>319</v>
      </c>
      <c r="F2328" s="9">
        <v>54</v>
      </c>
      <c r="G2328" s="9">
        <v>647</v>
      </c>
      <c r="H2328" s="5" t="s">
        <v>20</v>
      </c>
      <c r="I2328" s="5" t="s">
        <v>5609</v>
      </c>
      <c r="J2328" s="12" t="str">
        <f>HYPERLINK("https://www.boe.es/gazeta/dias/1807/06/26/pdfs/GMD-1807-54.pdf#page=9","Abrir facsímil")</f>
        <v>Abrir facsímil</v>
      </c>
      <c r="K2328" s="15" t="s">
        <v>22</v>
      </c>
    </row>
    <row r="2329" spans="1:11" ht="42" customHeight="1">
      <c r="A2329" s="4" t="s">
        <v>5610</v>
      </c>
      <c r="B2329" s="5" t="s">
        <v>5611</v>
      </c>
      <c r="C2329" s="5" t="s">
        <v>34</v>
      </c>
      <c r="D2329" s="5" t="s">
        <v>35</v>
      </c>
      <c r="E2329" s="5" t="s">
        <v>139</v>
      </c>
      <c r="F2329" s="9">
        <v>110</v>
      </c>
      <c r="G2329" s="9">
        <v>1288</v>
      </c>
      <c r="H2329" s="5" t="s">
        <v>20</v>
      </c>
      <c r="I2329" s="5" t="s">
        <v>5612</v>
      </c>
      <c r="J2329" s="12" t="str">
        <f>HYPERLINK("https://www.boe.es/gazeta/dias/1807/12/11/pdfs/GMD-1807-110.pdf#page=12","Abrir facsímil")</f>
        <v>Abrir facsímil</v>
      </c>
      <c r="K2329" s="15" t="s">
        <v>22</v>
      </c>
    </row>
    <row r="2330" spans="1:11" ht="42" customHeight="1">
      <c r="A2330" s="4" t="s">
        <v>5613</v>
      </c>
      <c r="B2330" s="5" t="s">
        <v>5614</v>
      </c>
      <c r="C2330" s="5" t="s">
        <v>28</v>
      </c>
      <c r="D2330" s="5" t="s">
        <v>29</v>
      </c>
      <c r="E2330" s="5" t="s">
        <v>266</v>
      </c>
      <c r="F2330" s="9">
        <v>67</v>
      </c>
      <c r="G2330" s="9">
        <v>772</v>
      </c>
      <c r="H2330" s="5" t="s">
        <v>20</v>
      </c>
      <c r="I2330" s="5" t="s">
        <v>5615</v>
      </c>
      <c r="J2330" s="12" t="str">
        <f>HYPERLINK("https://www.boe.es/gazeta/dias/1807/07/28/pdfs/GMD-1807-67.pdf#page=8","Abrir facsímil")</f>
        <v>Abrir facsímil</v>
      </c>
      <c r="K2330" s="15" t="s">
        <v>22</v>
      </c>
    </row>
    <row r="2331" spans="1:11" ht="42" customHeight="1">
      <c r="A2331" s="4" t="s">
        <v>5616</v>
      </c>
      <c r="B2331" s="5" t="s">
        <v>5617</v>
      </c>
      <c r="C2331" s="5" t="s">
        <v>28</v>
      </c>
      <c r="D2331" s="5" t="s">
        <v>29</v>
      </c>
      <c r="E2331" s="5" t="s">
        <v>530</v>
      </c>
      <c r="F2331" s="9">
        <v>79</v>
      </c>
      <c r="G2331" s="9">
        <v>919</v>
      </c>
      <c r="H2331" s="5" t="s">
        <v>20</v>
      </c>
      <c r="I2331" s="5" t="s">
        <v>5618</v>
      </c>
      <c r="J2331" s="12" t="str">
        <f>HYPERLINK("https://www.boe.es/gazeta/dias/1807/09/04/pdfs/GMD-1807-79.pdf#page=11","Abrir facsímil")</f>
        <v>Abrir facsímil</v>
      </c>
      <c r="K2331" s="15" t="s">
        <v>22</v>
      </c>
    </row>
    <row r="2332" spans="1:11" ht="42" customHeight="1">
      <c r="A2332" s="4" t="s">
        <v>5616</v>
      </c>
      <c r="B2332" s="5" t="s">
        <v>5617</v>
      </c>
      <c r="C2332" s="5" t="s">
        <v>28</v>
      </c>
      <c r="D2332" s="5" t="s">
        <v>29</v>
      </c>
      <c r="E2332" s="5" t="s">
        <v>530</v>
      </c>
      <c r="F2332" s="9">
        <v>79</v>
      </c>
      <c r="G2332" s="9">
        <v>920</v>
      </c>
      <c r="H2332" s="5" t="s">
        <v>20</v>
      </c>
      <c r="I2332" s="5" t="s">
        <v>5619</v>
      </c>
      <c r="J2332" s="12" t="str">
        <f>HYPERLINK("https://www.boe.es/gazeta/dias/1807/09/04/pdfs/GMD-1807-79.pdf#page=12","Abrir facsímil")</f>
        <v>Abrir facsímil</v>
      </c>
      <c r="K2332" s="15" t="s">
        <v>22</v>
      </c>
    </row>
    <row r="2333" spans="1:11" ht="42" customHeight="1">
      <c r="A2333" s="4" t="s">
        <v>5620</v>
      </c>
      <c r="B2333" s="5" t="s">
        <v>5621</v>
      </c>
      <c r="C2333" s="5" t="s">
        <v>34</v>
      </c>
      <c r="D2333" s="5" t="s">
        <v>35</v>
      </c>
      <c r="E2333" s="5" t="s">
        <v>314</v>
      </c>
      <c r="F2333" s="9" t="s">
        <v>315</v>
      </c>
      <c r="G2333" s="9">
        <v>1221</v>
      </c>
      <c r="H2333" s="5" t="s">
        <v>20</v>
      </c>
      <c r="I2333" s="5" t="s">
        <v>5622</v>
      </c>
      <c r="J2333" s="12" t="str">
        <f>HYPERLINK("https://www.boe.es/gazeta/dias/1807/11/26/pdfs/GMD-1807-105E.pdf#page=5","Abrir facsímil")</f>
        <v>Abrir facsímil</v>
      </c>
      <c r="K2333" s="15" t="s">
        <v>22</v>
      </c>
    </row>
    <row r="2334" spans="1:11" ht="42" customHeight="1">
      <c r="A2334" s="4" t="s">
        <v>5623</v>
      </c>
      <c r="B2334" s="5" t="s">
        <v>5623</v>
      </c>
      <c r="C2334" s="5" t="s">
        <v>24</v>
      </c>
      <c r="D2334" s="5" t="s">
        <v>18</v>
      </c>
      <c r="E2334" s="5" t="s">
        <v>94</v>
      </c>
      <c r="F2334" s="9">
        <v>22</v>
      </c>
      <c r="G2334" s="9">
        <v>258</v>
      </c>
      <c r="H2334" s="5" t="s">
        <v>20</v>
      </c>
      <c r="I2334" s="5" t="s">
        <v>5624</v>
      </c>
      <c r="J2334" s="12" t="str">
        <f>HYPERLINK("https://www.boe.es/gazeta/dias/1807/03/06/pdfs/GMD-1807-22.pdf#page=10","Abrir facsímil")</f>
        <v>Abrir facsímil</v>
      </c>
      <c r="K2334" s="15" t="s">
        <v>22</v>
      </c>
    </row>
    <row r="2335" spans="1:11" ht="42" customHeight="1">
      <c r="A2335" s="4" t="s">
        <v>5625</v>
      </c>
      <c r="B2335" s="5" t="s">
        <v>5626</v>
      </c>
      <c r="C2335" s="5" t="s">
        <v>89</v>
      </c>
      <c r="D2335" s="5" t="s">
        <v>90</v>
      </c>
      <c r="E2335" s="5" t="s">
        <v>270</v>
      </c>
      <c r="F2335" s="9">
        <v>8</v>
      </c>
      <c r="G2335" s="9">
        <v>94</v>
      </c>
      <c r="H2335" s="5" t="s">
        <v>20</v>
      </c>
      <c r="I2335" s="5" t="s">
        <v>5627</v>
      </c>
      <c r="J2335" s="12" t="str">
        <f>HYPERLINK("https://www.boe.es/gazeta/dias/1807/01/23/pdfs/GMD-1807-8.pdf#page=10","Abrir facsímil")</f>
        <v>Abrir facsímil</v>
      </c>
      <c r="K2335" s="15" t="s">
        <v>5628</v>
      </c>
    </row>
    <row r="2336" spans="1:11" ht="42" customHeight="1">
      <c r="A2336" s="4" t="s">
        <v>5629</v>
      </c>
      <c r="B2336" s="5" t="s">
        <v>5630</v>
      </c>
      <c r="C2336" s="5" t="s">
        <v>2383</v>
      </c>
      <c r="D2336" s="5" t="s">
        <v>2384</v>
      </c>
      <c r="E2336" s="5" t="s">
        <v>561</v>
      </c>
      <c r="F2336" s="9">
        <v>44</v>
      </c>
      <c r="G2336" s="9" t="s">
        <v>72</v>
      </c>
      <c r="H2336" s="5" t="s">
        <v>20</v>
      </c>
      <c r="I2336" s="5" t="s">
        <v>5631</v>
      </c>
      <c r="J2336" s="12" t="str">
        <f>HYPERLINK("https://www.boe.es/gazeta/dias/1807/05/22/pdfs/GMD-C-1807-44.pdf#page=1","Abrir facsímil")</f>
        <v>Abrir facsímil</v>
      </c>
      <c r="K2336" s="15" t="s">
        <v>5628</v>
      </c>
    </row>
    <row r="2337" spans="1:11" ht="42" customHeight="1">
      <c r="A2337" s="4" t="s">
        <v>5632</v>
      </c>
      <c r="B2337" s="5" t="s">
        <v>5633</v>
      </c>
      <c r="C2337" s="5" t="s">
        <v>89</v>
      </c>
      <c r="D2337" s="5" t="s">
        <v>90</v>
      </c>
      <c r="E2337" s="5" t="s">
        <v>186</v>
      </c>
      <c r="F2337" s="9">
        <v>72</v>
      </c>
      <c r="G2337" s="9">
        <v>831</v>
      </c>
      <c r="H2337" s="5" t="s">
        <v>20</v>
      </c>
      <c r="I2337" s="5" t="s">
        <v>5634</v>
      </c>
      <c r="J2337" s="12" t="str">
        <f>HYPERLINK("https://www.boe.es/gazeta/dias/1807/08/11/pdfs/GMD-1807-72.pdf#page=11","Abrir facsímil")</f>
        <v>Abrir facsímil</v>
      </c>
      <c r="K2337" s="15" t="s">
        <v>22</v>
      </c>
    </row>
    <row r="2338" spans="1:11" ht="42" customHeight="1">
      <c r="A2338" s="4" t="s">
        <v>5635</v>
      </c>
      <c r="B2338" s="5" t="s">
        <v>5635</v>
      </c>
      <c r="C2338" s="5" t="s">
        <v>34</v>
      </c>
      <c r="D2338" s="5" t="s">
        <v>35</v>
      </c>
      <c r="E2338" s="5" t="s">
        <v>414</v>
      </c>
      <c r="F2338" s="9">
        <v>40</v>
      </c>
      <c r="G2338" s="9">
        <v>480</v>
      </c>
      <c r="H2338" s="5" t="s">
        <v>20</v>
      </c>
      <c r="I2338" s="5" t="s">
        <v>5636</v>
      </c>
      <c r="J2338" s="12" t="str">
        <f>HYPERLINK("https://www.boe.es/gazeta/dias/1807/05/08/pdfs/GMD-1807-40.pdf#page=10","Abrir facsímil")</f>
        <v>Abrir facsímil</v>
      </c>
      <c r="K2338" s="15" t="s">
        <v>22</v>
      </c>
    </row>
    <row r="2339" spans="1:11" ht="42" customHeight="1">
      <c r="A2339" s="4" t="s">
        <v>5637</v>
      </c>
      <c r="B2339" s="5" t="s">
        <v>5637</v>
      </c>
      <c r="C2339" s="5" t="s">
        <v>28</v>
      </c>
      <c r="D2339" s="5" t="s">
        <v>29</v>
      </c>
      <c r="E2339" s="5" t="s">
        <v>390</v>
      </c>
      <c r="F2339" s="9">
        <v>24</v>
      </c>
      <c r="G2339" s="9">
        <v>287</v>
      </c>
      <c r="H2339" s="5" t="s">
        <v>20</v>
      </c>
      <c r="I2339" s="5" t="s">
        <v>5638</v>
      </c>
      <c r="J2339" s="12" t="str">
        <f>HYPERLINK("https://www.boe.es/gazeta/dias/1807/03/13/pdfs/GMD-1807-24.pdf#page=11","Abrir facsímil")</f>
        <v>Abrir facsímil</v>
      </c>
      <c r="K2339" s="15" t="s">
        <v>22</v>
      </c>
    </row>
    <row r="2340" spans="1:11" ht="42" customHeight="1">
      <c r="A2340" s="4" t="s">
        <v>5637</v>
      </c>
      <c r="B2340" s="5" t="s">
        <v>5637</v>
      </c>
      <c r="C2340" s="5" t="s">
        <v>34</v>
      </c>
      <c r="D2340" s="5" t="s">
        <v>35</v>
      </c>
      <c r="E2340" s="5" t="s">
        <v>40</v>
      </c>
      <c r="F2340" s="9">
        <v>26</v>
      </c>
      <c r="G2340" s="9">
        <v>312</v>
      </c>
      <c r="H2340" s="5" t="s">
        <v>20</v>
      </c>
      <c r="I2340" s="5" t="s">
        <v>5639</v>
      </c>
      <c r="J2340" s="12" t="str">
        <f>HYPERLINK("https://www.boe.es/gazeta/dias/1807/03/20/pdfs/GMD-1807-26.pdf#page=8","Abrir facsímil")</f>
        <v>Abrir facsímil</v>
      </c>
      <c r="K2340" s="15" t="s">
        <v>22</v>
      </c>
    </row>
    <row r="2341" spans="1:11" ht="42" customHeight="1">
      <c r="A2341" s="4" t="s">
        <v>5640</v>
      </c>
      <c r="B2341" s="5" t="s">
        <v>5640</v>
      </c>
      <c r="C2341" s="5" t="s">
        <v>17</v>
      </c>
      <c r="D2341" s="5" t="s">
        <v>18</v>
      </c>
      <c r="E2341" s="5" t="s">
        <v>19</v>
      </c>
      <c r="F2341" s="9">
        <v>41</v>
      </c>
      <c r="G2341" s="9">
        <v>489</v>
      </c>
      <c r="H2341" s="5" t="s">
        <v>20</v>
      </c>
      <c r="I2341" s="5" t="s">
        <v>5641</v>
      </c>
      <c r="J2341" s="12" t="str">
        <f>HYPERLINK("https://www.boe.es/gazeta/dias/1807/05/12/pdfs/GMD-1807-41.pdf#page=7","Abrir facsímil")</f>
        <v>Abrir facsímil</v>
      </c>
      <c r="K2341" s="15" t="s">
        <v>22</v>
      </c>
    </row>
    <row r="2342" spans="1:11" ht="42" customHeight="1">
      <c r="A2342" s="4" t="s">
        <v>5642</v>
      </c>
      <c r="B2342" s="5" t="s">
        <v>5643</v>
      </c>
      <c r="C2342" s="5" t="s">
        <v>34</v>
      </c>
      <c r="D2342" s="5" t="s">
        <v>35</v>
      </c>
      <c r="E2342" s="5" t="s">
        <v>186</v>
      </c>
      <c r="F2342" s="9">
        <v>72</v>
      </c>
      <c r="G2342" s="9">
        <v>835</v>
      </c>
      <c r="H2342" s="5" t="s">
        <v>20</v>
      </c>
      <c r="I2342" s="5" t="s">
        <v>5644</v>
      </c>
      <c r="J2342" s="12" t="str">
        <f>HYPERLINK("https://www.boe.es/gazeta/dias/1807/08/11/pdfs/GMD-1807-72.pdf#page=15","Abrir facsímil")</f>
        <v>Abrir facsímil</v>
      </c>
      <c r="K2342" s="15" t="s">
        <v>22</v>
      </c>
    </row>
    <row r="2343" spans="1:11" ht="42" customHeight="1">
      <c r="A2343" s="4" t="s">
        <v>5645</v>
      </c>
      <c r="B2343" s="5" t="s">
        <v>5646</v>
      </c>
      <c r="C2343" s="5" t="s">
        <v>28</v>
      </c>
      <c r="D2343" s="5" t="s">
        <v>29</v>
      </c>
      <c r="E2343" s="5" t="s">
        <v>390</v>
      </c>
      <c r="F2343" s="9">
        <v>24</v>
      </c>
      <c r="G2343" s="9">
        <v>291</v>
      </c>
      <c r="H2343" s="5" t="s">
        <v>20</v>
      </c>
      <c r="I2343" s="5" t="s">
        <v>5647</v>
      </c>
      <c r="J2343" s="12" t="str">
        <f>HYPERLINK("https://www.boe.es/gazeta/dias/1807/03/13/pdfs/GMD-1807-24.pdf#page=15","Abrir facsímil")</f>
        <v>Abrir facsímil</v>
      </c>
      <c r="K2343" s="15" t="s">
        <v>22</v>
      </c>
    </row>
    <row r="2344" spans="1:11" ht="42" customHeight="1">
      <c r="A2344" s="4" t="s">
        <v>5648</v>
      </c>
      <c r="B2344" s="5" t="s">
        <v>5649</v>
      </c>
      <c r="C2344" s="5" t="s">
        <v>24</v>
      </c>
      <c r="D2344" s="5" t="s">
        <v>18</v>
      </c>
      <c r="E2344" s="5" t="s">
        <v>176</v>
      </c>
      <c r="F2344" s="9">
        <v>17</v>
      </c>
      <c r="G2344" s="9">
        <v>195</v>
      </c>
      <c r="H2344" s="5" t="s">
        <v>20</v>
      </c>
      <c r="I2344" s="5" t="s">
        <v>5650</v>
      </c>
      <c r="J2344" s="12" t="str">
        <f>HYPERLINK("https://www.boe.es/gazeta/dias/1807/02/20/pdfs/GMD-1807-17.pdf#page=7","Abrir facsímil")</f>
        <v>Abrir facsímil</v>
      </c>
      <c r="K2344" s="15" t="s">
        <v>22</v>
      </c>
    </row>
    <row r="2345" spans="1:11" ht="42" customHeight="1">
      <c r="A2345" s="4" t="s">
        <v>5651</v>
      </c>
      <c r="B2345" s="5" t="s">
        <v>5652</v>
      </c>
      <c r="C2345" s="5" t="s">
        <v>49</v>
      </c>
      <c r="D2345" s="5" t="s">
        <v>50</v>
      </c>
      <c r="E2345" s="5" t="s">
        <v>393</v>
      </c>
      <c r="F2345" s="9">
        <v>15</v>
      </c>
      <c r="G2345" s="9">
        <v>166</v>
      </c>
      <c r="H2345" s="5" t="s">
        <v>20</v>
      </c>
      <c r="I2345" s="5" t="s">
        <v>5653</v>
      </c>
      <c r="J2345" s="12" t="str">
        <f>HYPERLINK("https://www.boe.es/gazeta/dias/1807/02/13/pdfs/GMD-1807-15.pdf#page=2","Abrir facsímil")</f>
        <v>Abrir facsímil</v>
      </c>
      <c r="K2345" s="15" t="s">
        <v>22</v>
      </c>
    </row>
    <row r="2346" spans="1:11" ht="42" customHeight="1">
      <c r="A2346" s="4" t="s">
        <v>5654</v>
      </c>
      <c r="B2346" s="5" t="s">
        <v>5655</v>
      </c>
      <c r="C2346" s="5" t="s">
        <v>252</v>
      </c>
      <c r="D2346" s="5" t="s">
        <v>253</v>
      </c>
      <c r="E2346" s="5" t="s">
        <v>215</v>
      </c>
      <c r="F2346" s="9" t="s">
        <v>517</v>
      </c>
      <c r="G2346" s="9">
        <v>64</v>
      </c>
      <c r="H2346" s="5" t="s">
        <v>20</v>
      </c>
      <c r="I2346" s="5" t="s">
        <v>5656</v>
      </c>
      <c r="J2346" s="12" t="str">
        <f>HYPERLINK("https://www.boe.es/gazeta/dias/1807/01/16/pdfs/GMD-1807-6E.pdf#page=4","Abrir facsímil")</f>
        <v>Abrir facsímil</v>
      </c>
      <c r="K2346" s="15" t="s">
        <v>22</v>
      </c>
    </row>
    <row r="2347" spans="1:11" ht="42" customHeight="1">
      <c r="A2347" s="4" t="s">
        <v>5657</v>
      </c>
      <c r="B2347" s="5" t="s">
        <v>5658</v>
      </c>
      <c r="C2347" s="5" t="s">
        <v>89</v>
      </c>
      <c r="D2347" s="5" t="s">
        <v>90</v>
      </c>
      <c r="E2347" s="5" t="s">
        <v>215</v>
      </c>
      <c r="F2347" s="9" t="s">
        <v>517</v>
      </c>
      <c r="G2347" s="9">
        <v>67</v>
      </c>
      <c r="H2347" s="5" t="s">
        <v>20</v>
      </c>
      <c r="I2347" s="5" t="s">
        <v>5659</v>
      </c>
      <c r="J2347" s="12" t="str">
        <f>HYPERLINK("https://www.boe.es/gazeta/dias/1807/01/16/pdfs/GMD-1807-6E.pdf#page=7","Abrir facsímil")</f>
        <v>Abrir facsímil</v>
      </c>
      <c r="K2347" s="15" t="s">
        <v>22</v>
      </c>
    </row>
    <row r="2348" spans="1:11" ht="42" customHeight="1">
      <c r="A2348" s="4" t="s">
        <v>5657</v>
      </c>
      <c r="B2348" s="5" t="s">
        <v>5658</v>
      </c>
      <c r="C2348" s="5" t="s">
        <v>252</v>
      </c>
      <c r="D2348" s="5" t="s">
        <v>253</v>
      </c>
      <c r="E2348" s="5" t="s">
        <v>215</v>
      </c>
      <c r="F2348" s="9" t="s">
        <v>517</v>
      </c>
      <c r="G2348" s="9">
        <v>68</v>
      </c>
      <c r="H2348" s="5" t="s">
        <v>20</v>
      </c>
      <c r="I2348" s="5" t="s">
        <v>5660</v>
      </c>
      <c r="J2348" s="12" t="str">
        <f>HYPERLINK("https://www.boe.es/gazeta/dias/1807/01/16/pdfs/GMD-1807-6E.pdf#page=8","Abrir facsímil")</f>
        <v>Abrir facsímil</v>
      </c>
      <c r="K2348" s="15" t="s">
        <v>22</v>
      </c>
    </row>
    <row r="2349" spans="1:11" ht="42" customHeight="1">
      <c r="A2349" s="4" t="s">
        <v>5657</v>
      </c>
      <c r="B2349" s="5" t="s">
        <v>5658</v>
      </c>
      <c r="C2349" s="5" t="s">
        <v>28</v>
      </c>
      <c r="D2349" s="5" t="s">
        <v>29</v>
      </c>
      <c r="E2349" s="5" t="s">
        <v>76</v>
      </c>
      <c r="F2349" s="9">
        <v>7</v>
      </c>
      <c r="G2349" s="9">
        <v>80</v>
      </c>
      <c r="H2349" s="5" t="s">
        <v>20</v>
      </c>
      <c r="I2349" s="5" t="s">
        <v>5661</v>
      </c>
      <c r="J2349" s="12" t="str">
        <f>HYPERLINK("https://www.boe.es/gazeta/dias/1807/01/20/pdfs/GMD-1807-7.pdf#page=12","Abrir facsímil")</f>
        <v>Abrir facsímil</v>
      </c>
      <c r="K2349" s="15" t="s">
        <v>22</v>
      </c>
    </row>
    <row r="2350" spans="1:11" ht="42" customHeight="1">
      <c r="A2350" s="4" t="s">
        <v>5657</v>
      </c>
      <c r="B2350" s="5" t="s">
        <v>5658</v>
      </c>
      <c r="C2350" s="5" t="s">
        <v>28</v>
      </c>
      <c r="D2350" s="5" t="s">
        <v>29</v>
      </c>
      <c r="E2350" s="5" t="s">
        <v>76</v>
      </c>
      <c r="F2350" s="9">
        <v>7</v>
      </c>
      <c r="G2350" s="9">
        <v>81</v>
      </c>
      <c r="H2350" s="5" t="s">
        <v>20</v>
      </c>
      <c r="I2350" s="5" t="s">
        <v>5662</v>
      </c>
      <c r="J2350" s="12" t="str">
        <f>HYPERLINK("https://www.boe.es/gazeta/dias/1807/01/20/pdfs/GMD-1807-7.pdf#page=13","Abrir facsímil")</f>
        <v>Abrir facsímil</v>
      </c>
      <c r="K2350" s="15" t="s">
        <v>22</v>
      </c>
    </row>
    <row r="2351" spans="1:11" ht="42" customHeight="1">
      <c r="A2351" s="4" t="s">
        <v>5663</v>
      </c>
      <c r="B2351" s="5" t="s">
        <v>5663</v>
      </c>
      <c r="C2351" s="5" t="s">
        <v>24</v>
      </c>
      <c r="D2351" s="5" t="s">
        <v>18</v>
      </c>
      <c r="E2351" s="5" t="s">
        <v>215</v>
      </c>
      <c r="F2351" s="9">
        <v>5</v>
      </c>
      <c r="G2351" s="9">
        <v>59</v>
      </c>
      <c r="H2351" s="5" t="s">
        <v>20</v>
      </c>
      <c r="I2351" s="5" t="s">
        <v>5664</v>
      </c>
      <c r="J2351" s="12" t="str">
        <f>HYPERLINK("https://www.boe.es/gazeta/dias/1807/01/16/pdfs/GMD-C-1807-5.pdf#page=3","Abrir facsímil")</f>
        <v>Abrir facsímil</v>
      </c>
      <c r="K2351" s="15" t="s">
        <v>22</v>
      </c>
    </row>
    <row r="2352" spans="1:11" ht="42" customHeight="1">
      <c r="A2352" s="4" t="s">
        <v>5665</v>
      </c>
      <c r="B2352" s="5" t="s">
        <v>5665</v>
      </c>
      <c r="C2352" s="5" t="s">
        <v>34</v>
      </c>
      <c r="D2352" s="5" t="s">
        <v>35</v>
      </c>
      <c r="E2352" s="5" t="s">
        <v>176</v>
      </c>
      <c r="F2352" s="9">
        <v>17</v>
      </c>
      <c r="G2352" s="9">
        <v>196</v>
      </c>
      <c r="H2352" s="5" t="s">
        <v>20</v>
      </c>
      <c r="I2352" s="5" t="s">
        <v>5666</v>
      </c>
      <c r="J2352" s="12" t="str">
        <f>HYPERLINK("https://www.boe.es/gazeta/dias/1807/02/20/pdfs/GMD-1807-17.pdf#page=8","Abrir facsímil")</f>
        <v>Abrir facsímil</v>
      </c>
      <c r="K2352" s="15" t="s">
        <v>22</v>
      </c>
    </row>
    <row r="2353" spans="1:11" ht="42" customHeight="1">
      <c r="A2353" s="4" t="s">
        <v>5667</v>
      </c>
      <c r="B2353" s="5" t="s">
        <v>5668</v>
      </c>
      <c r="C2353" s="5" t="s">
        <v>49</v>
      </c>
      <c r="D2353" s="5" t="s">
        <v>50</v>
      </c>
      <c r="E2353" s="5" t="s">
        <v>595</v>
      </c>
      <c r="F2353" s="9">
        <v>59</v>
      </c>
      <c r="G2353" s="9">
        <v>696</v>
      </c>
      <c r="H2353" s="5" t="s">
        <v>20</v>
      </c>
      <c r="I2353" s="5" t="s">
        <v>5669</v>
      </c>
      <c r="J2353" s="12" t="str">
        <f>HYPERLINK("https://www.boe.es/gazeta/dias/1807/07/10/pdfs/GMD-1807-59.pdf#page=2","Abrir facsímil")</f>
        <v>Abrir facsímil</v>
      </c>
      <c r="K2353" s="15" t="s">
        <v>22</v>
      </c>
    </row>
    <row r="2354" spans="1:11" ht="42" customHeight="1">
      <c r="A2354" s="4" t="s">
        <v>5670</v>
      </c>
      <c r="B2354" s="5" t="s">
        <v>5671</v>
      </c>
      <c r="C2354" s="5" t="s">
        <v>34</v>
      </c>
      <c r="D2354" s="5" t="s">
        <v>35</v>
      </c>
      <c r="E2354" s="5" t="s">
        <v>186</v>
      </c>
      <c r="F2354" s="9">
        <v>72</v>
      </c>
      <c r="G2354" s="9">
        <v>828</v>
      </c>
      <c r="H2354" s="5" t="s">
        <v>20</v>
      </c>
      <c r="I2354" s="5" t="s">
        <v>5672</v>
      </c>
      <c r="J2354" s="12" t="str">
        <f>HYPERLINK("https://www.boe.es/gazeta/dias/1807/08/11/pdfs/GMD-1807-72.pdf#page=8","Abrir facsímil")</f>
        <v>Abrir facsímil</v>
      </c>
      <c r="K2354" s="15" t="s">
        <v>22</v>
      </c>
    </row>
    <row r="2355" spans="1:11" ht="42" customHeight="1">
      <c r="A2355" s="4" t="s">
        <v>5673</v>
      </c>
      <c r="B2355" s="5" t="s">
        <v>5674</v>
      </c>
      <c r="C2355" s="5" t="s">
        <v>28</v>
      </c>
      <c r="D2355" s="5" t="s">
        <v>29</v>
      </c>
      <c r="E2355" s="5" t="s">
        <v>561</v>
      </c>
      <c r="F2355" s="9">
        <v>44</v>
      </c>
      <c r="G2355" s="9">
        <v>524</v>
      </c>
      <c r="H2355" s="5" t="s">
        <v>20</v>
      </c>
      <c r="I2355" s="5" t="s">
        <v>5675</v>
      </c>
      <c r="J2355" s="12" t="str">
        <f>HYPERLINK("https://www.boe.es/gazeta/dias/1807/05/22/pdfs/GMD-1807-44.pdf#page=6","Abrir facsímil")</f>
        <v>Abrir facsímil</v>
      </c>
      <c r="K2355" s="15" t="s">
        <v>22</v>
      </c>
    </row>
    <row r="2356" spans="1:11" ht="42" customHeight="1">
      <c r="A2356" s="4" t="s">
        <v>5676</v>
      </c>
      <c r="B2356" s="5" t="s">
        <v>5677</v>
      </c>
      <c r="C2356" s="5" t="s">
        <v>34</v>
      </c>
      <c r="D2356" s="5" t="s">
        <v>35</v>
      </c>
      <c r="E2356" s="5" t="s">
        <v>376</v>
      </c>
      <c r="F2356" s="9">
        <v>19</v>
      </c>
      <c r="G2356" s="9">
        <v>218</v>
      </c>
      <c r="H2356" s="5" t="s">
        <v>20</v>
      </c>
      <c r="I2356" s="5" t="s">
        <v>5678</v>
      </c>
      <c r="J2356" s="12" t="str">
        <f>HYPERLINK("https://www.boe.es/gazeta/dias/1807/02/27/pdfs/GMD-1807-19.pdf#page=2","Abrir facsímil")</f>
        <v>Abrir facsímil</v>
      </c>
      <c r="K2356" s="15" t="s">
        <v>22</v>
      </c>
    </row>
    <row r="2357" spans="1:11" ht="42" customHeight="1">
      <c r="A2357" s="4" t="s">
        <v>5676</v>
      </c>
      <c r="B2357" s="5" t="s">
        <v>5677</v>
      </c>
      <c r="C2357" s="5" t="s">
        <v>49</v>
      </c>
      <c r="D2357" s="5" t="s">
        <v>50</v>
      </c>
      <c r="E2357" s="5" t="s">
        <v>376</v>
      </c>
      <c r="F2357" s="9">
        <v>19</v>
      </c>
      <c r="G2357" s="9">
        <v>221</v>
      </c>
      <c r="H2357" s="5" t="s">
        <v>20</v>
      </c>
      <c r="I2357" s="5" t="s">
        <v>5679</v>
      </c>
      <c r="J2357" s="12" t="str">
        <f>HYPERLINK("https://www.boe.es/gazeta/dias/1807/02/27/pdfs/GMD-1807-19.pdf#page=5","Abrir facsímil")</f>
        <v>Abrir facsímil</v>
      </c>
      <c r="K2357" s="15" t="s">
        <v>22</v>
      </c>
    </row>
    <row r="2358" spans="1:11" ht="42" customHeight="1">
      <c r="A2358" s="4" t="s">
        <v>5676</v>
      </c>
      <c r="B2358" s="5" t="s">
        <v>5677</v>
      </c>
      <c r="C2358" s="5" t="s">
        <v>34</v>
      </c>
      <c r="D2358" s="5" t="s">
        <v>35</v>
      </c>
      <c r="E2358" s="5" t="s">
        <v>524</v>
      </c>
      <c r="F2358" s="9" t="s">
        <v>525</v>
      </c>
      <c r="G2358" s="9">
        <v>233</v>
      </c>
      <c r="H2358" s="5" t="s">
        <v>20</v>
      </c>
      <c r="I2358" s="5" t="s">
        <v>5680</v>
      </c>
      <c r="J2358" s="12" t="str">
        <f>HYPERLINK("https://www.boe.es/gazeta/dias/1807/03/01/pdfs/GMD-1807-20E.pdf#page=5","Abrir facsímil")</f>
        <v>Abrir facsímil</v>
      </c>
      <c r="K2358" s="15" t="s">
        <v>22</v>
      </c>
    </row>
    <row r="2359" spans="1:11" ht="42" customHeight="1">
      <c r="A2359" s="4" t="s">
        <v>5676</v>
      </c>
      <c r="B2359" s="5" t="s">
        <v>5677</v>
      </c>
      <c r="C2359" s="5" t="s">
        <v>49</v>
      </c>
      <c r="D2359" s="5" t="s">
        <v>50</v>
      </c>
      <c r="E2359" s="5" t="s">
        <v>561</v>
      </c>
      <c r="F2359" s="9">
        <v>44</v>
      </c>
      <c r="G2359" s="9">
        <v>520</v>
      </c>
      <c r="H2359" s="5" t="s">
        <v>20</v>
      </c>
      <c r="I2359" s="5" t="s">
        <v>5681</v>
      </c>
      <c r="J2359" s="12" t="str">
        <f>HYPERLINK("https://www.boe.es/gazeta/dias/1807/05/22/pdfs/GMD-1807-44.pdf#page=2","Abrir facsímil")</f>
        <v>Abrir facsímil</v>
      </c>
      <c r="K2359" s="15" t="s">
        <v>22</v>
      </c>
    </row>
    <row r="2360" spans="1:11" ht="42" customHeight="1">
      <c r="A2360" s="4" t="s">
        <v>5676</v>
      </c>
      <c r="B2360" s="5" t="s">
        <v>5677</v>
      </c>
      <c r="C2360" s="5" t="s">
        <v>49</v>
      </c>
      <c r="D2360" s="5" t="s">
        <v>50</v>
      </c>
      <c r="E2360" s="5" t="s">
        <v>83</v>
      </c>
      <c r="F2360" s="9">
        <v>50</v>
      </c>
      <c r="G2360" s="9">
        <v>589</v>
      </c>
      <c r="H2360" s="5" t="s">
        <v>20</v>
      </c>
      <c r="I2360" s="5" t="s">
        <v>5682</v>
      </c>
      <c r="J2360" s="12" t="str">
        <f>HYPERLINK("https://www.boe.es/gazeta/dias/1807/06/12/pdfs/GMD-1807-50.pdf#page=3","Abrir facsímil")</f>
        <v>Abrir facsímil</v>
      </c>
      <c r="K2360" s="15" t="s">
        <v>22</v>
      </c>
    </row>
    <row r="2361" spans="1:11" ht="42" customHeight="1">
      <c r="A2361" s="4" t="s">
        <v>5676</v>
      </c>
      <c r="B2361" s="5" t="s">
        <v>5677</v>
      </c>
      <c r="C2361" s="5" t="s">
        <v>49</v>
      </c>
      <c r="D2361" s="5" t="s">
        <v>50</v>
      </c>
      <c r="E2361" s="5" t="s">
        <v>53</v>
      </c>
      <c r="F2361" s="9">
        <v>64</v>
      </c>
      <c r="G2361" s="9">
        <v>740</v>
      </c>
      <c r="H2361" s="5" t="s">
        <v>20</v>
      </c>
      <c r="I2361" s="5" t="s">
        <v>5683</v>
      </c>
      <c r="J2361" s="12" t="str">
        <f>HYPERLINK("https://www.boe.es/gazeta/dias/1807/07/21/pdfs/GMD-1807-64.pdf#page=2","Abrir facsímil")</f>
        <v>Abrir facsímil</v>
      </c>
      <c r="K2361" s="15" t="s">
        <v>22</v>
      </c>
    </row>
    <row r="2362" spans="1:11" ht="42" customHeight="1">
      <c r="A2362" s="4" t="s">
        <v>5676</v>
      </c>
      <c r="B2362" s="5" t="s">
        <v>5677</v>
      </c>
      <c r="C2362" s="5" t="s">
        <v>49</v>
      </c>
      <c r="D2362" s="5" t="s">
        <v>50</v>
      </c>
      <c r="E2362" s="5" t="s">
        <v>127</v>
      </c>
      <c r="F2362" s="9">
        <v>81</v>
      </c>
      <c r="G2362" s="9">
        <v>939</v>
      </c>
      <c r="H2362" s="5" t="s">
        <v>20</v>
      </c>
      <c r="I2362" s="5" t="s">
        <v>5684</v>
      </c>
      <c r="J2362" s="12" t="str">
        <f>HYPERLINK("https://www.boe.es/gazeta/dias/1807/09/11/pdfs/GMD-1807-81.pdf#page=3","Abrir facsímil")</f>
        <v>Abrir facsímil</v>
      </c>
      <c r="K2362" s="15" t="s">
        <v>22</v>
      </c>
    </row>
    <row r="2363" spans="1:11" ht="42" customHeight="1">
      <c r="A2363" s="4" t="s">
        <v>5676</v>
      </c>
      <c r="B2363" s="5" t="s">
        <v>5677</v>
      </c>
      <c r="C2363" s="5" t="s">
        <v>34</v>
      </c>
      <c r="D2363" s="5" t="s">
        <v>35</v>
      </c>
      <c r="E2363" s="5" t="s">
        <v>654</v>
      </c>
      <c r="F2363" s="9">
        <v>94</v>
      </c>
      <c r="G2363" s="9">
        <v>1088</v>
      </c>
      <c r="H2363" s="5" t="s">
        <v>20</v>
      </c>
      <c r="I2363" s="5" t="s">
        <v>5685</v>
      </c>
      <c r="J2363" s="12" t="str">
        <f>HYPERLINK("https://www.boe.es/gazeta/dias/1807/10/20/pdfs/GMD-1807-94.pdf#page=4","Abrir facsímil")</f>
        <v>Abrir facsímil</v>
      </c>
      <c r="K2363" s="15" t="s">
        <v>22</v>
      </c>
    </row>
    <row r="2364" spans="1:11" ht="42" customHeight="1">
      <c r="A2364" s="4" t="s">
        <v>5676</v>
      </c>
      <c r="B2364" s="5" t="s">
        <v>5677</v>
      </c>
      <c r="C2364" s="5" t="s">
        <v>49</v>
      </c>
      <c r="D2364" s="5" t="s">
        <v>50</v>
      </c>
      <c r="E2364" s="5" t="s">
        <v>444</v>
      </c>
      <c r="F2364" s="9">
        <v>95</v>
      </c>
      <c r="G2364" s="9">
        <v>1097</v>
      </c>
      <c r="H2364" s="5" t="s">
        <v>20</v>
      </c>
      <c r="I2364" s="5" t="s">
        <v>5686</v>
      </c>
      <c r="J2364" s="12" t="str">
        <f>HYPERLINK("https://www.boe.es/gazeta/dias/1807/10/23/pdfs/GMD-1807-95.pdf#page=1","Abrir facsímil")</f>
        <v>Abrir facsímil</v>
      </c>
      <c r="K2364" s="15" t="s">
        <v>22</v>
      </c>
    </row>
    <row r="2365" spans="1:11" ht="42" customHeight="1">
      <c r="A2365" s="4" t="s">
        <v>5676</v>
      </c>
      <c r="B2365" s="5" t="s">
        <v>5677</v>
      </c>
      <c r="C2365" s="5" t="s">
        <v>49</v>
      </c>
      <c r="D2365" s="5" t="s">
        <v>50</v>
      </c>
      <c r="E2365" s="5" t="s">
        <v>1456</v>
      </c>
      <c r="F2365" s="9">
        <v>98</v>
      </c>
      <c r="G2365" s="9">
        <v>1137</v>
      </c>
      <c r="H2365" s="5" t="s">
        <v>20</v>
      </c>
      <c r="I2365" s="5" t="s">
        <v>5687</v>
      </c>
      <c r="J2365" s="12" t="str">
        <f>HYPERLINK("https://www.boe.es/gazeta/dias/1807/11/03/pdfs/GMD-1807-98.pdf#page=5","Abrir facsímil")</f>
        <v>Abrir facsímil</v>
      </c>
      <c r="K2365" s="15" t="s">
        <v>22</v>
      </c>
    </row>
    <row r="2366" spans="1:11" ht="42" customHeight="1">
      <c r="A2366" s="4" t="s">
        <v>5688</v>
      </c>
      <c r="B2366" s="5" t="s">
        <v>5689</v>
      </c>
      <c r="C2366" s="5" t="s">
        <v>28</v>
      </c>
      <c r="D2366" s="5" t="s">
        <v>29</v>
      </c>
      <c r="E2366" s="5" t="s">
        <v>71</v>
      </c>
      <c r="F2366" s="9">
        <v>35</v>
      </c>
      <c r="G2366" s="9">
        <v>419</v>
      </c>
      <c r="H2366" s="5" t="s">
        <v>20</v>
      </c>
      <c r="I2366" s="5" t="s">
        <v>5690</v>
      </c>
      <c r="J2366" s="12" t="str">
        <f>HYPERLINK("https://www.boe.es/gazeta/dias/1807/04/21/pdfs/GMD-1807-35.pdf#page=11","Abrir facsímil")</f>
        <v>Abrir facsímil</v>
      </c>
      <c r="K2366" s="15" t="s">
        <v>22</v>
      </c>
    </row>
    <row r="2367" spans="1:11" ht="42" customHeight="1">
      <c r="A2367" s="4" t="s">
        <v>5691</v>
      </c>
      <c r="B2367" s="5" t="s">
        <v>5692</v>
      </c>
      <c r="C2367" s="5" t="s">
        <v>28</v>
      </c>
      <c r="D2367" s="5" t="s">
        <v>29</v>
      </c>
      <c r="E2367" s="5" t="s">
        <v>71</v>
      </c>
      <c r="F2367" s="9">
        <v>35</v>
      </c>
      <c r="G2367" s="9">
        <v>419</v>
      </c>
      <c r="H2367" s="5" t="s">
        <v>20</v>
      </c>
      <c r="I2367" s="5" t="s">
        <v>5693</v>
      </c>
      <c r="J2367" s="12" t="str">
        <f>HYPERLINK("https://www.boe.es/gazeta/dias/1807/04/21/pdfs/GMD-1807-35.pdf#page=11","Abrir facsímil")</f>
        <v>Abrir facsímil</v>
      </c>
      <c r="K2367" s="15" t="s">
        <v>22</v>
      </c>
    </row>
    <row r="2368" spans="1:11" ht="42" customHeight="1">
      <c r="A2368" s="4" t="s">
        <v>5694</v>
      </c>
      <c r="B2368" s="5" t="s">
        <v>5695</v>
      </c>
      <c r="C2368" s="5" t="s">
        <v>28</v>
      </c>
      <c r="D2368" s="5" t="s">
        <v>29</v>
      </c>
      <c r="E2368" s="5" t="s">
        <v>94</v>
      </c>
      <c r="F2368" s="9">
        <v>22</v>
      </c>
      <c r="G2368" s="9">
        <v>254</v>
      </c>
      <c r="H2368" s="5" t="s">
        <v>20</v>
      </c>
      <c r="I2368" s="5" t="s">
        <v>5696</v>
      </c>
      <c r="J2368" s="12" t="str">
        <f>HYPERLINK("https://www.boe.es/gazeta/dias/1807/03/06/pdfs/GMD-1807-22.pdf#page=6","Abrir facsímil")</f>
        <v>Abrir facsímil</v>
      </c>
      <c r="K2368" s="15" t="s">
        <v>22</v>
      </c>
    </row>
    <row r="2369" spans="1:11" ht="42" customHeight="1">
      <c r="A2369" s="4" t="s">
        <v>5697</v>
      </c>
      <c r="B2369" s="5" t="s">
        <v>5698</v>
      </c>
      <c r="C2369" s="5" t="s">
        <v>89</v>
      </c>
      <c r="D2369" s="5" t="s">
        <v>90</v>
      </c>
      <c r="E2369" s="5" t="s">
        <v>1177</v>
      </c>
      <c r="F2369" s="9">
        <v>101</v>
      </c>
      <c r="G2369" s="9">
        <v>1180</v>
      </c>
      <c r="H2369" s="5" t="s">
        <v>20</v>
      </c>
      <c r="I2369" s="5" t="s">
        <v>5699</v>
      </c>
      <c r="J2369" s="12" t="str">
        <f>HYPERLINK("https://www.boe.es/gazeta/dias/1807/11/13/pdfs/GMD-1807-101.pdf#page=12","Abrir facsímil")</f>
        <v>Abrir facsímil</v>
      </c>
      <c r="K2369" s="15" t="s">
        <v>22</v>
      </c>
    </row>
    <row r="2370" spans="1:11" ht="42" customHeight="1">
      <c r="A2370" s="4" t="s">
        <v>5700</v>
      </c>
      <c r="B2370" s="5" t="s">
        <v>5700</v>
      </c>
      <c r="C2370" s="5" t="s">
        <v>28</v>
      </c>
      <c r="D2370" s="5" t="s">
        <v>29</v>
      </c>
      <c r="E2370" s="5" t="s">
        <v>156</v>
      </c>
      <c r="F2370" s="9">
        <v>74</v>
      </c>
      <c r="G2370" s="9">
        <v>857</v>
      </c>
      <c r="H2370" s="5" t="s">
        <v>20</v>
      </c>
      <c r="I2370" s="5" t="s">
        <v>5701</v>
      </c>
      <c r="J2370" s="12" t="str">
        <f>HYPERLINK("https://www.boe.es/gazeta/dias/1807/08/18/pdfs/GMD-1807-74.pdf#page=9","Abrir facsímil")</f>
        <v>Abrir facsímil</v>
      </c>
      <c r="K2370" s="15" t="s">
        <v>22</v>
      </c>
    </row>
    <row r="2371" spans="1:11" ht="42" customHeight="1">
      <c r="A2371" s="4" t="s">
        <v>5702</v>
      </c>
      <c r="B2371" s="5" t="s">
        <v>5702</v>
      </c>
      <c r="C2371" s="5" t="s">
        <v>17</v>
      </c>
      <c r="D2371" s="5" t="s">
        <v>18</v>
      </c>
      <c r="E2371" s="5" t="s">
        <v>79</v>
      </c>
      <c r="F2371" s="9">
        <v>11</v>
      </c>
      <c r="G2371" s="9">
        <v>125</v>
      </c>
      <c r="H2371" s="5" t="s">
        <v>20</v>
      </c>
      <c r="I2371" s="5" t="s">
        <v>5703</v>
      </c>
      <c r="J2371" s="12" t="str">
        <f>HYPERLINK("https://www.boe.es/gazeta/dias/1807/01/30/pdfs/GMD-1807-11.pdf#page=9","Abrir facsímil")</f>
        <v>Abrir facsímil</v>
      </c>
      <c r="K2371" s="15" t="s">
        <v>22</v>
      </c>
    </row>
    <row r="2372" spans="1:11" ht="42" customHeight="1">
      <c r="A2372" s="4" t="s">
        <v>5704</v>
      </c>
      <c r="B2372" s="5" t="s">
        <v>5704</v>
      </c>
      <c r="C2372" s="5" t="s">
        <v>34</v>
      </c>
      <c r="D2372" s="5" t="s">
        <v>35</v>
      </c>
      <c r="E2372" s="5" t="s">
        <v>19</v>
      </c>
      <c r="F2372" s="9">
        <v>41</v>
      </c>
      <c r="G2372" s="9">
        <v>493</v>
      </c>
      <c r="H2372" s="5" t="s">
        <v>20</v>
      </c>
      <c r="I2372" s="5" t="s">
        <v>5705</v>
      </c>
      <c r="J2372" s="12" t="str">
        <f>HYPERLINK("https://www.boe.es/gazeta/dias/1807/05/12/pdfs/GMD-1807-41.pdf#page=11","Abrir facsímil")</f>
        <v>Abrir facsímil</v>
      </c>
      <c r="K2372" s="15" t="s">
        <v>22</v>
      </c>
    </row>
    <row r="2373" spans="1:11" ht="42" customHeight="1">
      <c r="A2373" s="4" t="s">
        <v>5706</v>
      </c>
      <c r="B2373" s="5" t="s">
        <v>5707</v>
      </c>
      <c r="C2373" s="5" t="s">
        <v>34</v>
      </c>
      <c r="D2373" s="5" t="s">
        <v>35</v>
      </c>
      <c r="E2373" s="5" t="s">
        <v>19</v>
      </c>
      <c r="F2373" s="9">
        <v>41</v>
      </c>
      <c r="G2373" s="9">
        <v>489</v>
      </c>
      <c r="H2373" s="5" t="s">
        <v>20</v>
      </c>
      <c r="I2373" s="5" t="s">
        <v>5708</v>
      </c>
      <c r="J2373" s="12" t="str">
        <f>HYPERLINK("https://www.boe.es/gazeta/dias/1807/05/12/pdfs/GMD-1807-41.pdf#page=7","Abrir facsímil")</f>
        <v>Abrir facsímil</v>
      </c>
      <c r="K2373" s="15" t="s">
        <v>22</v>
      </c>
    </row>
    <row r="2374" spans="1:11" ht="42" customHeight="1">
      <c r="A2374" s="4" t="s">
        <v>5709</v>
      </c>
      <c r="B2374" s="5" t="s">
        <v>5709</v>
      </c>
      <c r="C2374" s="5" t="s">
        <v>17</v>
      </c>
      <c r="D2374" s="5" t="s">
        <v>18</v>
      </c>
      <c r="E2374" s="5" t="s">
        <v>414</v>
      </c>
      <c r="F2374" s="9">
        <v>40</v>
      </c>
      <c r="G2374" s="9">
        <v>481</v>
      </c>
      <c r="H2374" s="5" t="s">
        <v>20</v>
      </c>
      <c r="I2374" s="5" t="s">
        <v>5710</v>
      </c>
      <c r="J2374" s="12" t="str">
        <f>HYPERLINK("https://www.boe.es/gazeta/dias/1807/05/08/pdfs/GMD-1807-40.pdf#page=11","Abrir facsímil")</f>
        <v>Abrir facsímil</v>
      </c>
      <c r="K2374" s="15" t="s">
        <v>22</v>
      </c>
    </row>
    <row r="2375" spans="1:11" ht="42" customHeight="1">
      <c r="A2375" s="4" t="s">
        <v>5711</v>
      </c>
      <c r="B2375" s="5" t="s">
        <v>5712</v>
      </c>
      <c r="C2375" s="5" t="s">
        <v>89</v>
      </c>
      <c r="D2375" s="5" t="s">
        <v>90</v>
      </c>
      <c r="E2375" s="5" t="s">
        <v>319</v>
      </c>
      <c r="F2375" s="9">
        <v>54</v>
      </c>
      <c r="G2375" s="9">
        <v>649</v>
      </c>
      <c r="H2375" s="5" t="s">
        <v>20</v>
      </c>
      <c r="I2375" s="5" t="s">
        <v>5713</v>
      </c>
      <c r="J2375" s="12" t="str">
        <f>HYPERLINK("https://www.boe.es/gazeta/dias/1807/06/26/pdfs/GMD-1807-54.pdf#page=11","Abrir facsímil")</f>
        <v>Abrir facsímil</v>
      </c>
      <c r="K2375" s="15" t="s">
        <v>22</v>
      </c>
    </row>
    <row r="2376" spans="1:11" ht="42" customHeight="1">
      <c r="A2376" s="4" t="s">
        <v>5714</v>
      </c>
      <c r="B2376" s="5" t="s">
        <v>5714</v>
      </c>
      <c r="C2376" s="5" t="s">
        <v>49</v>
      </c>
      <c r="D2376" s="5" t="s">
        <v>50</v>
      </c>
      <c r="E2376" s="5" t="s">
        <v>572</v>
      </c>
      <c r="F2376" s="9">
        <v>14</v>
      </c>
      <c r="G2376" s="9">
        <v>156</v>
      </c>
      <c r="H2376" s="5" t="s">
        <v>20</v>
      </c>
      <c r="I2376" s="5" t="s">
        <v>5715</v>
      </c>
      <c r="J2376" s="12" t="str">
        <f>HYPERLINK("https://www.boe.es/gazeta/dias/1807/02/10/pdfs/GMD-1807-14.pdf#page=4","Abrir facsímil")</f>
        <v>Abrir facsímil</v>
      </c>
      <c r="K2376" s="15" t="s">
        <v>22</v>
      </c>
    </row>
    <row r="2377" spans="1:11" ht="42" customHeight="1">
      <c r="A2377" s="4" t="s">
        <v>5714</v>
      </c>
      <c r="B2377" s="5" t="s">
        <v>5714</v>
      </c>
      <c r="C2377" s="5" t="s">
        <v>49</v>
      </c>
      <c r="D2377" s="5" t="s">
        <v>50</v>
      </c>
      <c r="E2377" s="5" t="s">
        <v>390</v>
      </c>
      <c r="F2377" s="9">
        <v>24</v>
      </c>
      <c r="G2377" s="9">
        <v>277</v>
      </c>
      <c r="H2377" s="5" t="s">
        <v>20</v>
      </c>
      <c r="I2377" s="5" t="s">
        <v>5716</v>
      </c>
      <c r="J2377" s="12" t="str">
        <f>HYPERLINK("https://www.boe.es/gazeta/dias/1807/03/13/pdfs/GMD-1807-24.pdf#page=1","Abrir facsímil")</f>
        <v>Abrir facsímil</v>
      </c>
      <c r="K2377" s="15" t="s">
        <v>22</v>
      </c>
    </row>
    <row r="2378" spans="1:11" ht="42" customHeight="1">
      <c r="A2378" s="4" t="s">
        <v>5717</v>
      </c>
      <c r="B2378" s="5" t="s">
        <v>5718</v>
      </c>
      <c r="C2378" s="5" t="s">
        <v>34</v>
      </c>
      <c r="D2378" s="5" t="s">
        <v>35</v>
      </c>
      <c r="E2378" s="5" t="s">
        <v>1456</v>
      </c>
      <c r="F2378" s="9">
        <v>98</v>
      </c>
      <c r="G2378" s="9">
        <v>1133</v>
      </c>
      <c r="H2378" s="5" t="s">
        <v>20</v>
      </c>
      <c r="I2378" s="5" t="s">
        <v>5719</v>
      </c>
      <c r="J2378" s="12" t="str">
        <f>HYPERLINK("https://www.boe.es/gazeta/dias/1807/11/03/pdfs/GMD-1807-98.pdf#page=1","Abrir facsímil")</f>
        <v>Abrir facsímil</v>
      </c>
      <c r="K2378" s="15" t="s">
        <v>22</v>
      </c>
    </row>
    <row r="2379" spans="1:11" ht="42" customHeight="1">
      <c r="A2379" s="4" t="s">
        <v>5720</v>
      </c>
      <c r="B2379" s="5" t="s">
        <v>5720</v>
      </c>
      <c r="C2379" s="5" t="s">
        <v>49</v>
      </c>
      <c r="D2379" s="5" t="s">
        <v>50</v>
      </c>
      <c r="E2379" s="5" t="s">
        <v>464</v>
      </c>
      <c r="F2379" s="9">
        <v>18</v>
      </c>
      <c r="G2379" s="9">
        <v>201</v>
      </c>
      <c r="H2379" s="5" t="s">
        <v>20</v>
      </c>
      <c r="I2379" s="5" t="s">
        <v>5721</v>
      </c>
      <c r="J2379" s="12" t="str">
        <f>HYPERLINK("https://www.boe.es/gazeta/dias/1807/02/24/pdfs/GMD-1807-18.pdf#page=1","Abrir facsímil")</f>
        <v>Abrir facsímil</v>
      </c>
      <c r="K2379" s="15" t="s">
        <v>22</v>
      </c>
    </row>
    <row r="2380" spans="1:11" ht="42" customHeight="1">
      <c r="A2380" s="4" t="s">
        <v>5720</v>
      </c>
      <c r="B2380" s="5" t="s">
        <v>5720</v>
      </c>
      <c r="C2380" s="5" t="s">
        <v>49</v>
      </c>
      <c r="D2380" s="5" t="s">
        <v>50</v>
      </c>
      <c r="E2380" s="5" t="s">
        <v>94</v>
      </c>
      <c r="F2380" s="9">
        <v>22</v>
      </c>
      <c r="G2380" s="9">
        <v>253</v>
      </c>
      <c r="H2380" s="5" t="s">
        <v>20</v>
      </c>
      <c r="I2380" s="5" t="s">
        <v>5722</v>
      </c>
      <c r="J2380" s="12" t="str">
        <f>HYPERLINK("https://www.boe.es/gazeta/dias/1807/03/06/pdfs/GMD-1807-22.pdf#page=5","Abrir facsímil")</f>
        <v>Abrir facsímil</v>
      </c>
      <c r="K2380" s="15" t="s">
        <v>22</v>
      </c>
    </row>
    <row r="2381" spans="1:11" ht="42" customHeight="1">
      <c r="A2381" s="4" t="s">
        <v>5723</v>
      </c>
      <c r="B2381" s="5" t="s">
        <v>5724</v>
      </c>
      <c r="C2381" s="5" t="s">
        <v>34</v>
      </c>
      <c r="D2381" s="5" t="s">
        <v>35</v>
      </c>
      <c r="E2381" s="5" t="s">
        <v>19</v>
      </c>
      <c r="F2381" s="9">
        <v>41</v>
      </c>
      <c r="G2381" s="9">
        <v>489</v>
      </c>
      <c r="H2381" s="5" t="s">
        <v>20</v>
      </c>
      <c r="I2381" s="5" t="s">
        <v>5725</v>
      </c>
      <c r="J2381" s="12" t="str">
        <f>HYPERLINK("https://www.boe.es/gazeta/dias/1807/05/12/pdfs/GMD-1807-41.pdf#page=7","Abrir facsímil")</f>
        <v>Abrir facsímil</v>
      </c>
      <c r="K2381" s="15" t="s">
        <v>22</v>
      </c>
    </row>
    <row r="2382" spans="1:11" ht="42" customHeight="1">
      <c r="A2382" s="4" t="s">
        <v>5726</v>
      </c>
      <c r="B2382" s="5" t="s">
        <v>5727</v>
      </c>
      <c r="C2382" s="5" t="s">
        <v>2383</v>
      </c>
      <c r="D2382" s="5" t="s">
        <v>2384</v>
      </c>
      <c r="E2382" s="5" t="s">
        <v>215</v>
      </c>
      <c r="F2382" s="9">
        <v>5</v>
      </c>
      <c r="G2382" s="9">
        <v>58</v>
      </c>
      <c r="H2382" s="5" t="s">
        <v>20</v>
      </c>
      <c r="I2382" s="5" t="s">
        <v>5728</v>
      </c>
      <c r="J2382" s="12" t="str">
        <f>HYPERLINK("https://www.boe.es/gazeta/dias/1807/01/16/pdfs/GMD-C-1807-5.pdf#page=2","Abrir facsímil")</f>
        <v>Abrir facsímil</v>
      </c>
      <c r="K2382" s="15" t="s">
        <v>5628</v>
      </c>
    </row>
    <row r="2383" spans="1:11" ht="42" customHeight="1">
      <c r="A2383" s="4" t="s">
        <v>5729</v>
      </c>
      <c r="B2383" s="5" t="s">
        <v>5729</v>
      </c>
      <c r="C2383" s="5" t="s">
        <v>89</v>
      </c>
      <c r="D2383" s="5" t="s">
        <v>90</v>
      </c>
      <c r="E2383" s="5" t="s">
        <v>149</v>
      </c>
      <c r="F2383" s="9">
        <v>38</v>
      </c>
      <c r="G2383" s="9">
        <v>455</v>
      </c>
      <c r="H2383" s="5" t="s">
        <v>20</v>
      </c>
      <c r="I2383" s="5" t="s">
        <v>5730</v>
      </c>
      <c r="J2383" s="12" t="str">
        <f>HYPERLINK("https://www.boe.es/gazeta/dias/1807/05/01/pdfs/GMD-1807-38.pdf#page=11","Abrir facsímil")</f>
        <v>Abrir facsímil</v>
      </c>
      <c r="K2383" s="15" t="s">
        <v>22</v>
      </c>
    </row>
    <row r="2384" spans="1:11" ht="42" customHeight="1">
      <c r="A2384" s="4" t="s">
        <v>5731</v>
      </c>
      <c r="B2384" s="5" t="s">
        <v>5731</v>
      </c>
      <c r="C2384" s="5" t="s">
        <v>34</v>
      </c>
      <c r="D2384" s="5" t="s">
        <v>35</v>
      </c>
      <c r="E2384" s="5" t="s">
        <v>266</v>
      </c>
      <c r="F2384" s="9">
        <v>67</v>
      </c>
      <c r="G2384" s="9">
        <v>775</v>
      </c>
      <c r="H2384" s="5" t="s">
        <v>20</v>
      </c>
      <c r="I2384" s="5" t="s">
        <v>5732</v>
      </c>
      <c r="J2384" s="12" t="str">
        <f>HYPERLINK("https://www.boe.es/gazeta/dias/1807/07/28/pdfs/GMD-1807-67.pdf#page=11","Abrir facsímil")</f>
        <v>Abrir facsímil</v>
      </c>
      <c r="K2384" s="15" t="s">
        <v>22</v>
      </c>
    </row>
    <row r="2385" spans="1:11" ht="42" customHeight="1">
      <c r="A2385" s="4" t="s">
        <v>5733</v>
      </c>
      <c r="B2385" s="5" t="s">
        <v>5733</v>
      </c>
      <c r="C2385" s="5" t="s">
        <v>28</v>
      </c>
      <c r="D2385" s="5" t="s">
        <v>29</v>
      </c>
      <c r="E2385" s="5" t="s">
        <v>101</v>
      </c>
      <c r="F2385" s="9">
        <v>23</v>
      </c>
      <c r="G2385" s="9">
        <v>275</v>
      </c>
      <c r="H2385" s="5" t="s">
        <v>20</v>
      </c>
      <c r="I2385" s="5" t="s">
        <v>5734</v>
      </c>
      <c r="J2385" s="12" t="str">
        <f>HYPERLINK("https://www.boe.es/gazeta/dias/1807/03/10/pdfs/GMD-1807-23.pdf#page=15","Abrir facsímil")</f>
        <v>Abrir facsímil</v>
      </c>
      <c r="K2385" s="15" t="s">
        <v>22</v>
      </c>
    </row>
    <row r="2386" spans="1:11" ht="42" customHeight="1">
      <c r="A2386" s="4" t="s">
        <v>5735</v>
      </c>
      <c r="B2386" s="5" t="s">
        <v>5736</v>
      </c>
      <c r="C2386" s="5" t="s">
        <v>34</v>
      </c>
      <c r="D2386" s="5" t="s">
        <v>35</v>
      </c>
      <c r="E2386" s="5" t="s">
        <v>65</v>
      </c>
      <c r="F2386" s="9">
        <v>52</v>
      </c>
      <c r="G2386" s="9">
        <v>622</v>
      </c>
      <c r="H2386" s="5" t="s">
        <v>20</v>
      </c>
      <c r="I2386" s="5" t="s">
        <v>5737</v>
      </c>
      <c r="J2386" s="12" t="str">
        <f>HYPERLINK("https://www.boe.es/gazeta/dias/1807/06/19/pdfs/GMD-1807-52.pdf#page=12","Abrir facsímil")</f>
        <v>Abrir facsímil</v>
      </c>
      <c r="K2386" s="15" t="s">
        <v>22</v>
      </c>
    </row>
    <row r="2387" spans="1:11" ht="42" customHeight="1">
      <c r="A2387" s="4" t="s">
        <v>5738</v>
      </c>
      <c r="B2387" s="5" t="s">
        <v>5739</v>
      </c>
      <c r="C2387" s="5" t="s">
        <v>34</v>
      </c>
      <c r="D2387" s="5" t="s">
        <v>35</v>
      </c>
      <c r="E2387" s="5" t="s">
        <v>65</v>
      </c>
      <c r="F2387" s="9">
        <v>52</v>
      </c>
      <c r="G2387" s="9">
        <v>622</v>
      </c>
      <c r="H2387" s="5" t="s">
        <v>20</v>
      </c>
      <c r="I2387" s="5" t="s">
        <v>5740</v>
      </c>
      <c r="J2387" s="12" t="str">
        <f>HYPERLINK("https://www.boe.es/gazeta/dias/1807/06/19/pdfs/GMD-1807-52.pdf#page=12","Abrir facsímil")</f>
        <v>Abrir facsímil</v>
      </c>
      <c r="K2387" s="15" t="s">
        <v>22</v>
      </c>
    </row>
    <row r="2388" spans="1:11" ht="42" customHeight="1">
      <c r="A2388" s="4" t="s">
        <v>5741</v>
      </c>
      <c r="B2388" s="5" t="s">
        <v>5742</v>
      </c>
      <c r="C2388" s="5" t="s">
        <v>34</v>
      </c>
      <c r="D2388" s="5" t="s">
        <v>35</v>
      </c>
      <c r="E2388" s="5" t="s">
        <v>309</v>
      </c>
      <c r="F2388" s="9">
        <v>107</v>
      </c>
      <c r="G2388" s="9">
        <v>1247</v>
      </c>
      <c r="H2388" s="5" t="s">
        <v>20</v>
      </c>
      <c r="I2388" s="5" t="s">
        <v>5743</v>
      </c>
      <c r="J2388" s="12" t="str">
        <f>HYPERLINK("https://www.boe.es/gazeta/dias/1807/12/01/pdfs/GMD-1807-107.pdf#page=7","Abrir facsímil")</f>
        <v>Abrir facsímil</v>
      </c>
      <c r="K2388" s="15" t="s">
        <v>22</v>
      </c>
    </row>
    <row r="2389" spans="1:11" ht="42" customHeight="1">
      <c r="A2389" s="4" t="s">
        <v>5744</v>
      </c>
      <c r="B2389" s="5" t="s">
        <v>5745</v>
      </c>
      <c r="C2389" s="5" t="s">
        <v>34</v>
      </c>
      <c r="D2389" s="5" t="s">
        <v>35</v>
      </c>
      <c r="E2389" s="5" t="s">
        <v>666</v>
      </c>
      <c r="F2389" s="9">
        <v>43</v>
      </c>
      <c r="G2389" s="9">
        <v>515</v>
      </c>
      <c r="H2389" s="5" t="s">
        <v>20</v>
      </c>
      <c r="I2389" s="5" t="s">
        <v>5746</v>
      </c>
      <c r="J2389" s="12" t="str">
        <f>HYPERLINK("https://www.boe.es/gazeta/dias/1807/05/19/pdfs/GMD-1807-43.pdf#page=9","Abrir facsímil")</f>
        <v>Abrir facsímil</v>
      </c>
      <c r="K2389" s="15" t="s">
        <v>22</v>
      </c>
    </row>
    <row r="2390" spans="1:11" ht="42" customHeight="1">
      <c r="A2390" s="4" t="s">
        <v>5747</v>
      </c>
      <c r="B2390" s="5" t="s">
        <v>5747</v>
      </c>
      <c r="C2390" s="5" t="s">
        <v>28</v>
      </c>
      <c r="D2390" s="5" t="s">
        <v>29</v>
      </c>
      <c r="E2390" s="5" t="s">
        <v>91</v>
      </c>
      <c r="F2390" s="9">
        <v>109</v>
      </c>
      <c r="G2390" s="9">
        <v>1273</v>
      </c>
      <c r="H2390" s="5" t="s">
        <v>20</v>
      </c>
      <c r="I2390" s="5" t="s">
        <v>5748</v>
      </c>
      <c r="J2390" s="12" t="str">
        <f>HYPERLINK("https://www.boe.es/gazeta/dias/1807/12/08/pdfs/GMD-1807-109.pdf#page=9","Abrir facsímil")</f>
        <v>Abrir facsímil</v>
      </c>
      <c r="K2390" s="15" t="s">
        <v>22</v>
      </c>
    </row>
    <row r="2391" spans="1:11" ht="42" customHeight="1">
      <c r="A2391" s="4" t="s">
        <v>5749</v>
      </c>
      <c r="B2391" s="5" t="s">
        <v>5749</v>
      </c>
      <c r="C2391" s="5" t="s">
        <v>49</v>
      </c>
      <c r="D2391" s="5" t="s">
        <v>50</v>
      </c>
      <c r="E2391" s="5" t="s">
        <v>530</v>
      </c>
      <c r="F2391" s="9">
        <v>79</v>
      </c>
      <c r="G2391" s="9">
        <v>911</v>
      </c>
      <c r="H2391" s="5" t="s">
        <v>20</v>
      </c>
      <c r="I2391" s="5" t="s">
        <v>5750</v>
      </c>
      <c r="J2391" s="12" t="str">
        <f>HYPERLINK("https://www.boe.es/gazeta/dias/1807/09/04/pdfs/GMD-1807-79.pdf#page=3","Abrir facsímil")</f>
        <v>Abrir facsímil</v>
      </c>
      <c r="K2391" s="15" t="s">
        <v>22</v>
      </c>
    </row>
    <row r="2392" spans="1:11" ht="42" customHeight="1">
      <c r="A2392" s="4" t="s">
        <v>5749</v>
      </c>
      <c r="B2392" s="5" t="s">
        <v>5749</v>
      </c>
      <c r="C2392" s="5" t="s">
        <v>34</v>
      </c>
      <c r="D2392" s="5" t="s">
        <v>35</v>
      </c>
      <c r="E2392" s="5" t="s">
        <v>406</v>
      </c>
      <c r="F2392" s="9">
        <v>82</v>
      </c>
      <c r="G2392" s="9">
        <v>949</v>
      </c>
      <c r="H2392" s="5" t="s">
        <v>20</v>
      </c>
      <c r="I2392" s="5" t="s">
        <v>5751</v>
      </c>
      <c r="J2392" s="12" t="str">
        <f>HYPERLINK("https://www.boe.es/gazeta/dias/1807/09/15/pdfs/GMD-1807-82.pdf#page=1","Abrir facsímil")</f>
        <v>Abrir facsímil</v>
      </c>
      <c r="K2392" s="15" t="s">
        <v>22</v>
      </c>
    </row>
    <row r="2393" spans="1:11" ht="42" customHeight="1">
      <c r="A2393" s="4" t="s">
        <v>5749</v>
      </c>
      <c r="B2393" s="5" t="s">
        <v>5749</v>
      </c>
      <c r="C2393" s="5" t="s">
        <v>34</v>
      </c>
      <c r="D2393" s="5" t="s">
        <v>35</v>
      </c>
      <c r="E2393" s="5" t="s">
        <v>245</v>
      </c>
      <c r="F2393" s="9">
        <v>97</v>
      </c>
      <c r="G2393" s="9">
        <v>1123</v>
      </c>
      <c r="H2393" s="5" t="s">
        <v>20</v>
      </c>
      <c r="I2393" s="5" t="s">
        <v>5752</v>
      </c>
      <c r="J2393" s="12" t="str">
        <f>HYPERLINK("https://www.boe.es/gazeta/dias/1807/10/30/pdfs/GMD-1807-97.pdf#page=3","Abrir facsímil")</f>
        <v>Abrir facsímil</v>
      </c>
      <c r="K2393" s="15" t="s">
        <v>22</v>
      </c>
    </row>
    <row r="2394" spans="1:11" ht="42" customHeight="1">
      <c r="A2394" s="4" t="s">
        <v>5753</v>
      </c>
      <c r="B2394" s="5" t="s">
        <v>5753</v>
      </c>
      <c r="C2394" s="5" t="s">
        <v>34</v>
      </c>
      <c r="D2394" s="5" t="s">
        <v>35</v>
      </c>
      <c r="E2394" s="5" t="s">
        <v>282</v>
      </c>
      <c r="F2394" s="9">
        <v>16</v>
      </c>
      <c r="G2394" s="9">
        <v>179</v>
      </c>
      <c r="H2394" s="5" t="s">
        <v>20</v>
      </c>
      <c r="I2394" s="5" t="s">
        <v>5754</v>
      </c>
      <c r="J2394" s="12" t="str">
        <f>HYPERLINK("https://www.boe.es/gazeta/dias/1807/02/17/pdfs/GMD-1807-16.pdf#page=3","Abrir facsímil")</f>
        <v>Abrir facsímil</v>
      </c>
      <c r="K2394" s="15" t="s">
        <v>22</v>
      </c>
    </row>
    <row r="2395" spans="1:11" ht="42" customHeight="1">
      <c r="A2395" s="4" t="s">
        <v>5755</v>
      </c>
      <c r="B2395" s="5" t="s">
        <v>5755</v>
      </c>
      <c r="C2395" s="5" t="s">
        <v>34</v>
      </c>
      <c r="D2395" s="5" t="s">
        <v>35</v>
      </c>
      <c r="E2395" s="5" t="s">
        <v>384</v>
      </c>
      <c r="F2395" s="9">
        <v>111</v>
      </c>
      <c r="G2395" s="9">
        <v>1298</v>
      </c>
      <c r="H2395" s="5" t="s">
        <v>20</v>
      </c>
      <c r="I2395" s="5" t="s">
        <v>5756</v>
      </c>
      <c r="J2395" s="12" t="str">
        <f>HYPERLINK("https://www.boe.es/gazeta/dias/1807/12/15/pdfs/GMD-1807-111.pdf#page=10","Abrir facsímil")</f>
        <v>Abrir facsímil</v>
      </c>
      <c r="K2395" s="15" t="s">
        <v>22</v>
      </c>
    </row>
    <row r="2396" spans="1:11" ht="42" customHeight="1">
      <c r="A2396" s="4" t="s">
        <v>5757</v>
      </c>
      <c r="B2396" s="5" t="s">
        <v>5757</v>
      </c>
      <c r="C2396" s="5" t="s">
        <v>34</v>
      </c>
      <c r="D2396" s="5" t="s">
        <v>35</v>
      </c>
      <c r="E2396" s="5" t="s">
        <v>595</v>
      </c>
      <c r="F2396" s="9">
        <v>59</v>
      </c>
      <c r="G2396" s="9">
        <v>702</v>
      </c>
      <c r="H2396" s="5" t="s">
        <v>20</v>
      </c>
      <c r="I2396" s="5" t="s">
        <v>5758</v>
      </c>
      <c r="J2396" s="12" t="str">
        <f>HYPERLINK("https://www.boe.es/gazeta/dias/1807/07/10/pdfs/GMD-1807-59.pdf#page=8","Abrir facsímil")</f>
        <v>Abrir facsímil</v>
      </c>
      <c r="K2396" s="15" t="s">
        <v>22</v>
      </c>
    </row>
    <row r="2397" spans="1:11" ht="42" customHeight="1">
      <c r="A2397" s="4" t="s">
        <v>5759</v>
      </c>
      <c r="B2397" s="5" t="s">
        <v>5759</v>
      </c>
      <c r="C2397" s="5" t="s">
        <v>34</v>
      </c>
      <c r="D2397" s="5" t="s">
        <v>35</v>
      </c>
      <c r="E2397" s="5" t="s">
        <v>447</v>
      </c>
      <c r="F2397" s="9">
        <v>65</v>
      </c>
      <c r="G2397" s="9">
        <v>757</v>
      </c>
      <c r="H2397" s="5" t="s">
        <v>20</v>
      </c>
      <c r="I2397" s="5" t="s">
        <v>5760</v>
      </c>
      <c r="J2397" s="12" t="str">
        <f>HYPERLINK("https://www.boe.es/gazeta/dias/1807/07/24/pdfs/GMD-1807-65.pdf#page=7","Abrir facsímil")</f>
        <v>Abrir facsímil</v>
      </c>
      <c r="K2397" s="15" t="s">
        <v>22</v>
      </c>
    </row>
    <row r="2398" spans="1:11" ht="42" customHeight="1">
      <c r="A2398" s="4" t="s">
        <v>5761</v>
      </c>
      <c r="B2398" s="5" t="s">
        <v>5761</v>
      </c>
      <c r="C2398" s="5" t="s">
        <v>28</v>
      </c>
      <c r="D2398" s="5" t="s">
        <v>29</v>
      </c>
      <c r="E2398" s="5" t="s">
        <v>86</v>
      </c>
      <c r="F2398" s="9">
        <v>12</v>
      </c>
      <c r="G2398" s="9">
        <v>135</v>
      </c>
      <c r="H2398" s="5" t="s">
        <v>20</v>
      </c>
      <c r="I2398" s="5" t="s">
        <v>5762</v>
      </c>
      <c r="J2398" s="12" t="str">
        <f>HYPERLINK("https://www.boe.es/gazeta/dias/1807/02/03/pdfs/GMD-1807-12.pdf#page=7","Abrir facsímil")</f>
        <v>Abrir facsímil</v>
      </c>
      <c r="K2398" s="15" t="s">
        <v>22</v>
      </c>
    </row>
    <row r="2399" spans="1:11" ht="42" customHeight="1">
      <c r="A2399" s="4" t="s">
        <v>5761</v>
      </c>
      <c r="B2399" s="5" t="s">
        <v>5761</v>
      </c>
      <c r="C2399" s="5" t="s">
        <v>28</v>
      </c>
      <c r="D2399" s="5" t="s">
        <v>29</v>
      </c>
      <c r="E2399" s="5" t="s">
        <v>422</v>
      </c>
      <c r="F2399" s="9">
        <v>33</v>
      </c>
      <c r="G2399" s="9">
        <v>395</v>
      </c>
      <c r="H2399" s="5" t="s">
        <v>20</v>
      </c>
      <c r="I2399" s="5" t="s">
        <v>5763</v>
      </c>
      <c r="J2399" s="12" t="str">
        <f>HYPERLINK("https://www.boe.es/gazeta/dias/1807/04/14/pdfs/GMD-1807-33.pdf#page=11","Abrir facsímil")</f>
        <v>Abrir facsímil</v>
      </c>
      <c r="K2399" s="15" t="s">
        <v>22</v>
      </c>
    </row>
    <row r="2400" spans="1:11" ht="42" customHeight="1">
      <c r="A2400" s="4" t="s">
        <v>5764</v>
      </c>
      <c r="B2400" s="5" t="s">
        <v>5764</v>
      </c>
      <c r="C2400" s="5" t="s">
        <v>17</v>
      </c>
      <c r="D2400" s="5" t="s">
        <v>18</v>
      </c>
      <c r="E2400" s="5" t="s">
        <v>111</v>
      </c>
      <c r="F2400" s="9">
        <v>90</v>
      </c>
      <c r="G2400" s="9">
        <v>1044</v>
      </c>
      <c r="H2400" s="5" t="s">
        <v>20</v>
      </c>
      <c r="I2400" s="5" t="s">
        <v>5765</v>
      </c>
      <c r="J2400" s="12" t="str">
        <f>HYPERLINK("https://www.boe.es/gazeta/dias/1807/10/06/pdfs/GMD-1807-90.pdf#page=12","Abrir facsímil")</f>
        <v>Abrir facsímil</v>
      </c>
      <c r="K2400" s="15" t="s">
        <v>22</v>
      </c>
    </row>
    <row r="2401" spans="1:11" ht="42" customHeight="1">
      <c r="A2401" s="4" t="s">
        <v>5766</v>
      </c>
      <c r="B2401" s="5" t="s">
        <v>5766</v>
      </c>
      <c r="C2401" s="5" t="s">
        <v>89</v>
      </c>
      <c r="D2401" s="5" t="s">
        <v>90</v>
      </c>
      <c r="E2401" s="5" t="s">
        <v>30</v>
      </c>
      <c r="F2401" s="9">
        <v>13</v>
      </c>
      <c r="G2401" s="9">
        <v>151</v>
      </c>
      <c r="H2401" s="5" t="s">
        <v>20</v>
      </c>
      <c r="I2401" s="5" t="s">
        <v>5767</v>
      </c>
      <c r="J2401" s="12" t="str">
        <f>HYPERLINK("https://www.boe.es/gazeta/dias/1807/02/06/pdfs/GMD-1807-13.pdf#page=11","Abrir facsímil")</f>
        <v>Abrir facsímil</v>
      </c>
      <c r="K2401" s="15" t="s">
        <v>22</v>
      </c>
    </row>
    <row r="2402" spans="1:11" ht="42" customHeight="1">
      <c r="A2402" s="4" t="s">
        <v>5766</v>
      </c>
      <c r="B2402" s="5" t="s">
        <v>5766</v>
      </c>
      <c r="C2402" s="5" t="s">
        <v>34</v>
      </c>
      <c r="D2402" s="5" t="s">
        <v>35</v>
      </c>
      <c r="E2402" s="5" t="s">
        <v>1354</v>
      </c>
      <c r="F2402" s="9">
        <v>83</v>
      </c>
      <c r="G2402" s="9">
        <v>970</v>
      </c>
      <c r="H2402" s="5" t="s">
        <v>20</v>
      </c>
      <c r="I2402" s="5" t="s">
        <v>5768</v>
      </c>
      <c r="J2402" s="12" t="str">
        <f>HYPERLINK("https://www.boe.es/gazeta/dias/1807/09/18/pdfs/GMD-1807-83.pdf#page=10","Abrir facsímil")</f>
        <v>Abrir facsímil</v>
      </c>
      <c r="K2402" s="15" t="s">
        <v>22</v>
      </c>
    </row>
    <row r="2403" spans="1:11" ht="42" customHeight="1">
      <c r="A2403" s="4" t="s">
        <v>5769</v>
      </c>
      <c r="B2403" s="5" t="s">
        <v>5769</v>
      </c>
      <c r="C2403" s="5" t="s">
        <v>34</v>
      </c>
      <c r="D2403" s="5" t="s">
        <v>35</v>
      </c>
      <c r="E2403" s="5" t="s">
        <v>106</v>
      </c>
      <c r="F2403" s="9">
        <v>39</v>
      </c>
      <c r="G2403" s="9">
        <v>467</v>
      </c>
      <c r="H2403" s="5" t="s">
        <v>20</v>
      </c>
      <c r="I2403" s="5" t="s">
        <v>5770</v>
      </c>
      <c r="J2403" s="12" t="str">
        <f>HYPERLINK("https://www.boe.es/gazeta/dias/1807/05/05/pdfs/GMD-1807-39.pdf#page=9","Abrir facsímil")</f>
        <v>Abrir facsímil</v>
      </c>
      <c r="K2403" s="15" t="s">
        <v>22</v>
      </c>
    </row>
    <row r="2404" spans="1:11" ht="42" customHeight="1">
      <c r="A2404" s="4" t="s">
        <v>5771</v>
      </c>
      <c r="B2404" s="5" t="s">
        <v>5772</v>
      </c>
      <c r="C2404" s="5" t="s">
        <v>34</v>
      </c>
      <c r="D2404" s="5" t="s">
        <v>35</v>
      </c>
      <c r="E2404" s="5" t="s">
        <v>441</v>
      </c>
      <c r="F2404" s="9">
        <v>92</v>
      </c>
      <c r="G2404" s="9">
        <v>1068</v>
      </c>
      <c r="H2404" s="5" t="s">
        <v>20</v>
      </c>
      <c r="I2404" s="5" t="s">
        <v>5773</v>
      </c>
      <c r="J2404" s="12" t="str">
        <f>HYPERLINK("https://www.boe.es/gazeta/dias/1807/10/13/pdfs/GMD-1807-92.pdf#page=8","Abrir facsímil")</f>
        <v>Abrir facsímil</v>
      </c>
      <c r="K2404" s="15" t="s">
        <v>22</v>
      </c>
    </row>
    <row r="2405" spans="1:11" ht="42" customHeight="1">
      <c r="A2405" s="4" t="s">
        <v>5774</v>
      </c>
      <c r="B2405" s="5" t="s">
        <v>5774</v>
      </c>
      <c r="C2405" s="5" t="s">
        <v>28</v>
      </c>
      <c r="D2405" s="5" t="s">
        <v>29</v>
      </c>
      <c r="E2405" s="5" t="s">
        <v>3230</v>
      </c>
      <c r="F2405" s="9">
        <v>27</v>
      </c>
      <c r="G2405" s="9">
        <v>322</v>
      </c>
      <c r="H2405" s="5" t="s">
        <v>20</v>
      </c>
      <c r="I2405" s="5" t="s">
        <v>5775</v>
      </c>
      <c r="J2405" s="12" t="str">
        <f>HYPERLINK("https://www.boe.es/gazeta/dias/1807/03/24/pdfs/GMD-1807-27.pdf#page=6","Abrir facsímil")</f>
        <v>Abrir facsímil</v>
      </c>
      <c r="K2405" s="15" t="s">
        <v>22</v>
      </c>
    </row>
    <row r="2406" spans="1:11" ht="42" customHeight="1">
      <c r="A2406" s="4" t="s">
        <v>5776</v>
      </c>
      <c r="B2406" s="5" t="s">
        <v>5776</v>
      </c>
      <c r="C2406" s="5" t="s">
        <v>34</v>
      </c>
      <c r="D2406" s="5" t="s">
        <v>35</v>
      </c>
      <c r="E2406" s="5" t="s">
        <v>471</v>
      </c>
      <c r="F2406" s="9">
        <v>51</v>
      </c>
      <c r="G2406" s="9">
        <v>602</v>
      </c>
      <c r="H2406" s="5" t="s">
        <v>20</v>
      </c>
      <c r="I2406" s="5" t="s">
        <v>5777</v>
      </c>
      <c r="J2406" s="12" t="str">
        <f>HYPERLINK("https://www.boe.es/gazeta/dias/1807/06/16/pdfs/GMD-1807-51.pdf#page=4","Abrir facsímil")</f>
        <v>Abrir facsímil</v>
      </c>
      <c r="K2406" s="15" t="s">
        <v>22</v>
      </c>
    </row>
    <row r="2407" spans="1:11" ht="42" customHeight="1">
      <c r="A2407" s="4" t="s">
        <v>5778</v>
      </c>
      <c r="B2407" s="5" t="s">
        <v>5778</v>
      </c>
      <c r="C2407" s="5" t="s">
        <v>34</v>
      </c>
      <c r="D2407" s="5" t="s">
        <v>35</v>
      </c>
      <c r="E2407" s="5" t="s">
        <v>620</v>
      </c>
      <c r="F2407" s="9">
        <v>84</v>
      </c>
      <c r="G2407" s="9">
        <v>978</v>
      </c>
      <c r="H2407" s="5" t="s">
        <v>20</v>
      </c>
      <c r="I2407" s="5" t="s">
        <v>5779</v>
      </c>
      <c r="J2407" s="12" t="str">
        <f>HYPERLINK("https://www.boe.es/gazeta/dias/1807/09/22/pdfs/GMD-1807-84.pdf#page=6","Abrir facsímil")</f>
        <v>Abrir facsímil</v>
      </c>
      <c r="K2407" s="15" t="s">
        <v>22</v>
      </c>
    </row>
    <row r="2408" spans="1:11" ht="42" customHeight="1">
      <c r="A2408" s="4" t="s">
        <v>5778</v>
      </c>
      <c r="B2408" s="5" t="s">
        <v>5778</v>
      </c>
      <c r="C2408" s="5" t="s">
        <v>49</v>
      </c>
      <c r="D2408" s="5" t="s">
        <v>50</v>
      </c>
      <c r="E2408" s="5" t="s">
        <v>179</v>
      </c>
      <c r="F2408" s="9">
        <v>100</v>
      </c>
      <c r="G2408" s="9">
        <v>1158</v>
      </c>
      <c r="H2408" s="5" t="s">
        <v>20</v>
      </c>
      <c r="I2408" s="5" t="s">
        <v>5780</v>
      </c>
      <c r="J2408" s="12" t="str">
        <f>HYPERLINK("https://www.boe.es/gazeta/dias/1807/11/10/pdfs/GMD-1807-100.pdf#page=2","Abrir facsímil")</f>
        <v>Abrir facsímil</v>
      </c>
      <c r="K2408" s="15" t="s">
        <v>22</v>
      </c>
    </row>
    <row r="2409" spans="1:11" ht="42" customHeight="1">
      <c r="A2409" s="4" t="s">
        <v>5781</v>
      </c>
      <c r="B2409" s="5" t="s">
        <v>5781</v>
      </c>
      <c r="C2409" s="5" t="s">
        <v>34</v>
      </c>
      <c r="D2409" s="5" t="s">
        <v>35</v>
      </c>
      <c r="E2409" s="5" t="s">
        <v>241</v>
      </c>
      <c r="F2409" s="9">
        <v>76</v>
      </c>
      <c r="G2409" s="9">
        <v>877</v>
      </c>
      <c r="H2409" s="5" t="s">
        <v>20</v>
      </c>
      <c r="I2409" s="5" t="s">
        <v>5782</v>
      </c>
      <c r="J2409" s="12" t="str">
        <f>HYPERLINK("https://www.boe.es/gazeta/dias/1807/08/25/pdfs/GMD-1807-76.pdf#page=5","Abrir facsímil")</f>
        <v>Abrir facsímil</v>
      </c>
      <c r="K2409" s="15" t="s">
        <v>22</v>
      </c>
    </row>
    <row r="2410" spans="1:11" ht="42" customHeight="1">
      <c r="A2410" s="4" t="s">
        <v>5783</v>
      </c>
      <c r="B2410" s="5" t="s">
        <v>5784</v>
      </c>
      <c r="C2410" s="5" t="s">
        <v>28</v>
      </c>
      <c r="D2410" s="5" t="s">
        <v>29</v>
      </c>
      <c r="E2410" s="5" t="s">
        <v>327</v>
      </c>
      <c r="F2410" s="9">
        <v>108</v>
      </c>
      <c r="G2410" s="9">
        <v>1257</v>
      </c>
      <c r="H2410" s="5" t="s">
        <v>20</v>
      </c>
      <c r="I2410" s="5" t="s">
        <v>5785</v>
      </c>
      <c r="J2410" s="12" t="str">
        <f>HYPERLINK("https://www.boe.es/gazeta/dias/1807/12/04/pdfs/GMD-1807-108.pdf#page=5","Abrir facsímil")</f>
        <v>Abrir facsímil</v>
      </c>
      <c r="K2410" s="15" t="s">
        <v>22</v>
      </c>
    </row>
    <row r="2411" spans="1:11" ht="42" customHeight="1">
      <c r="A2411" s="4" t="s">
        <v>5786</v>
      </c>
      <c r="B2411" s="5" t="s">
        <v>5786</v>
      </c>
      <c r="C2411" s="5" t="s">
        <v>28</v>
      </c>
      <c r="D2411" s="5" t="s">
        <v>29</v>
      </c>
      <c r="E2411" s="5" t="s">
        <v>106</v>
      </c>
      <c r="F2411" s="9">
        <v>39</v>
      </c>
      <c r="G2411" s="9">
        <v>468</v>
      </c>
      <c r="H2411" s="5" t="s">
        <v>20</v>
      </c>
      <c r="I2411" s="5" t="s">
        <v>5787</v>
      </c>
      <c r="J2411" s="12" t="str">
        <f>HYPERLINK("https://www.boe.es/gazeta/dias/1807/05/05/pdfs/GMD-1807-39.pdf#page=10","Abrir facsímil")</f>
        <v>Abrir facsímil</v>
      </c>
      <c r="K2411" s="15" t="s">
        <v>22</v>
      </c>
    </row>
    <row r="2412" spans="1:11" ht="42" customHeight="1">
      <c r="A2412" s="4" t="s">
        <v>5788</v>
      </c>
      <c r="B2412" s="5" t="s">
        <v>5788</v>
      </c>
      <c r="C2412" s="5" t="s">
        <v>49</v>
      </c>
      <c r="D2412" s="5" t="s">
        <v>50</v>
      </c>
      <c r="E2412" s="5" t="s">
        <v>79</v>
      </c>
      <c r="F2412" s="9">
        <v>11</v>
      </c>
      <c r="G2412" s="9">
        <v>119</v>
      </c>
      <c r="H2412" s="5" t="s">
        <v>20</v>
      </c>
      <c r="I2412" s="5" t="s">
        <v>5789</v>
      </c>
      <c r="J2412" s="12" t="str">
        <f>HYPERLINK("https://www.boe.es/gazeta/dias/1807/01/30/pdfs/GMD-1807-11.pdf#page=3","Abrir facsímil")</f>
        <v>Abrir facsímil</v>
      </c>
      <c r="K2412" s="15" t="s">
        <v>22</v>
      </c>
    </row>
    <row r="2413" spans="1:11" ht="42" customHeight="1">
      <c r="A2413" s="4" t="s">
        <v>5790</v>
      </c>
      <c r="B2413" s="5" t="s">
        <v>5791</v>
      </c>
      <c r="C2413" s="5" t="s">
        <v>28</v>
      </c>
      <c r="D2413" s="5" t="s">
        <v>29</v>
      </c>
      <c r="E2413" s="5" t="s">
        <v>444</v>
      </c>
      <c r="F2413" s="9">
        <v>95</v>
      </c>
      <c r="G2413" s="9">
        <v>1107</v>
      </c>
      <c r="H2413" s="5" t="s">
        <v>20</v>
      </c>
      <c r="I2413" s="5" t="s">
        <v>5792</v>
      </c>
      <c r="J2413" s="12" t="str">
        <f>HYPERLINK("https://www.boe.es/gazeta/dias/1807/10/23/pdfs/GMD-1807-95.pdf#page=11","Abrir facsímil")</f>
        <v>Abrir facsímil</v>
      </c>
      <c r="K2413" s="15" t="s">
        <v>22</v>
      </c>
    </row>
    <row r="2414" spans="1:11" ht="42" customHeight="1">
      <c r="A2414" s="4" t="s">
        <v>5793</v>
      </c>
      <c r="B2414" s="5" t="s">
        <v>5794</v>
      </c>
      <c r="C2414" s="5" t="s">
        <v>34</v>
      </c>
      <c r="D2414" s="5" t="s">
        <v>35</v>
      </c>
      <c r="E2414" s="5" t="s">
        <v>464</v>
      </c>
      <c r="F2414" s="9">
        <v>18</v>
      </c>
      <c r="G2414" s="9">
        <v>212</v>
      </c>
      <c r="H2414" s="5" t="s">
        <v>20</v>
      </c>
      <c r="I2414" s="5" t="s">
        <v>5795</v>
      </c>
      <c r="J2414" s="12" t="str">
        <f>HYPERLINK("https://www.boe.es/gazeta/dias/1807/02/24/pdfs/GMD-1807-18.pdf#page=12","Abrir facsímil")</f>
        <v>Abrir facsímil</v>
      </c>
      <c r="K2414" s="15" t="s">
        <v>22</v>
      </c>
    </row>
    <row r="2415" spans="1:11" ht="42" customHeight="1">
      <c r="A2415" s="4" t="s">
        <v>5796</v>
      </c>
      <c r="B2415" s="5" t="s">
        <v>5797</v>
      </c>
      <c r="C2415" s="5" t="s">
        <v>28</v>
      </c>
      <c r="D2415" s="5" t="s">
        <v>29</v>
      </c>
      <c r="E2415" s="5" t="s">
        <v>127</v>
      </c>
      <c r="F2415" s="9">
        <v>81</v>
      </c>
      <c r="G2415" s="9">
        <v>946</v>
      </c>
      <c r="H2415" s="5" t="s">
        <v>20</v>
      </c>
      <c r="I2415" s="5" t="s">
        <v>5798</v>
      </c>
      <c r="J2415" s="12" t="str">
        <f>HYPERLINK("https://www.boe.es/gazeta/dias/1807/09/11/pdfs/GMD-1807-81.pdf#page=10","Abrir facsímil")</f>
        <v>Abrir facsímil</v>
      </c>
      <c r="K2415" s="15" t="s">
        <v>22</v>
      </c>
    </row>
    <row r="2416" spans="1:11" ht="42" customHeight="1">
      <c r="A2416" s="4" t="s">
        <v>5799</v>
      </c>
      <c r="B2416" s="5" t="s">
        <v>5799</v>
      </c>
      <c r="C2416" s="5" t="s">
        <v>28</v>
      </c>
      <c r="D2416" s="5" t="s">
        <v>29</v>
      </c>
      <c r="E2416" s="5" t="s">
        <v>241</v>
      </c>
      <c r="F2416" s="9">
        <v>76</v>
      </c>
      <c r="G2416" s="9">
        <v>879</v>
      </c>
      <c r="H2416" s="5" t="s">
        <v>20</v>
      </c>
      <c r="I2416" s="5" t="s">
        <v>5800</v>
      </c>
      <c r="J2416" s="12" t="str">
        <f>HYPERLINK("https://www.boe.es/gazeta/dias/1807/08/25/pdfs/GMD-1807-76.pdf#page=7","Abrir facsímil")</f>
        <v>Abrir facsímil</v>
      </c>
      <c r="K2416" s="15" t="s">
        <v>22</v>
      </c>
    </row>
    <row r="2417" spans="1:11" ht="42" customHeight="1">
      <c r="A2417" s="4" t="s">
        <v>5801</v>
      </c>
      <c r="B2417" s="5" t="s">
        <v>5801</v>
      </c>
      <c r="C2417" s="5" t="s">
        <v>28</v>
      </c>
      <c r="D2417" s="5" t="s">
        <v>29</v>
      </c>
      <c r="E2417" s="5" t="s">
        <v>793</v>
      </c>
      <c r="F2417" s="9">
        <v>87</v>
      </c>
      <c r="G2417" s="9">
        <v>1012</v>
      </c>
      <c r="H2417" s="5" t="s">
        <v>20</v>
      </c>
      <c r="I2417" s="5" t="s">
        <v>5802</v>
      </c>
      <c r="J2417" s="12" t="str">
        <f>HYPERLINK("https://www.boe.es/gazeta/dias/1807/09/29/pdfs/GMD-1807-87.pdf#page=12","Abrir facsímil")</f>
        <v>Abrir facsímil</v>
      </c>
      <c r="K2417" s="15" t="s">
        <v>22</v>
      </c>
    </row>
    <row r="2418" spans="1:11" ht="42" customHeight="1">
      <c r="A2418" s="4" t="s">
        <v>5803</v>
      </c>
      <c r="B2418" s="5" t="s">
        <v>5803</v>
      </c>
      <c r="C2418" s="5" t="s">
        <v>17</v>
      </c>
      <c r="D2418" s="5" t="s">
        <v>18</v>
      </c>
      <c r="E2418" s="5" t="s">
        <v>83</v>
      </c>
      <c r="F2418" s="9">
        <v>50</v>
      </c>
      <c r="G2418" s="9">
        <v>595</v>
      </c>
      <c r="H2418" s="5" t="s">
        <v>20</v>
      </c>
      <c r="I2418" s="5" t="s">
        <v>5804</v>
      </c>
      <c r="J2418" s="12" t="str">
        <f>HYPERLINK("https://www.boe.es/gazeta/dias/1807/06/12/pdfs/GMD-1807-50.pdf#page=9","Abrir facsímil")</f>
        <v>Abrir facsímil</v>
      </c>
      <c r="K2418" s="15" t="s">
        <v>22</v>
      </c>
    </row>
    <row r="2419" spans="1:11" ht="42" customHeight="1">
      <c r="A2419" s="4" t="s">
        <v>5805</v>
      </c>
      <c r="B2419" s="5" t="s">
        <v>5805</v>
      </c>
      <c r="C2419" s="5" t="s">
        <v>17</v>
      </c>
      <c r="D2419" s="5" t="s">
        <v>18</v>
      </c>
      <c r="E2419" s="5" t="s">
        <v>422</v>
      </c>
      <c r="F2419" s="9">
        <v>33</v>
      </c>
      <c r="G2419" s="9">
        <v>394</v>
      </c>
      <c r="H2419" s="5" t="s">
        <v>20</v>
      </c>
      <c r="I2419" s="5" t="s">
        <v>5806</v>
      </c>
      <c r="J2419" s="12" t="str">
        <f>HYPERLINK("https://www.boe.es/gazeta/dias/1807/04/14/pdfs/GMD-1807-33.pdf#page=10","Abrir facsímil")</f>
        <v>Abrir facsímil</v>
      </c>
      <c r="K2419" s="15" t="s">
        <v>22</v>
      </c>
    </row>
    <row r="2420" spans="1:11" ht="42" customHeight="1">
      <c r="A2420" s="4" t="s">
        <v>5807</v>
      </c>
      <c r="B2420" s="5" t="s">
        <v>5807</v>
      </c>
      <c r="C2420" s="5" t="s">
        <v>28</v>
      </c>
      <c r="D2420" s="5" t="s">
        <v>29</v>
      </c>
      <c r="E2420" s="5" t="s">
        <v>83</v>
      </c>
      <c r="F2420" s="9">
        <v>50</v>
      </c>
      <c r="G2420" s="9">
        <v>594</v>
      </c>
      <c r="H2420" s="5" t="s">
        <v>20</v>
      </c>
      <c r="I2420" s="5" t="s">
        <v>5808</v>
      </c>
      <c r="J2420" s="12" t="str">
        <f>HYPERLINK("https://www.boe.es/gazeta/dias/1807/06/12/pdfs/GMD-1807-50.pdf#page=8","Abrir facsímil")</f>
        <v>Abrir facsímil</v>
      </c>
      <c r="K2420" s="15" t="s">
        <v>22</v>
      </c>
    </row>
    <row r="2421" spans="1:11" ht="42" customHeight="1">
      <c r="A2421" s="4" t="s">
        <v>5809</v>
      </c>
      <c r="B2421" s="5" t="s">
        <v>5809</v>
      </c>
      <c r="C2421" s="5" t="s">
        <v>28</v>
      </c>
      <c r="D2421" s="5" t="s">
        <v>29</v>
      </c>
      <c r="E2421" s="5" t="s">
        <v>98</v>
      </c>
      <c r="F2421" s="9">
        <v>34</v>
      </c>
      <c r="G2421" s="9">
        <v>404</v>
      </c>
      <c r="H2421" s="5" t="s">
        <v>20</v>
      </c>
      <c r="I2421" s="5" t="s">
        <v>5810</v>
      </c>
      <c r="J2421" s="12" t="str">
        <f>HYPERLINK("https://www.boe.es/gazeta/dias/1807/04/17/pdfs/GMD-1807-34.pdf#page=8","Abrir facsímil")</f>
        <v>Abrir facsímil</v>
      </c>
      <c r="K2421" s="15" t="s">
        <v>22</v>
      </c>
    </row>
    <row r="2422" spans="1:11" ht="42" customHeight="1">
      <c r="A2422" s="4" t="s">
        <v>5811</v>
      </c>
      <c r="B2422" s="5" t="s">
        <v>5811</v>
      </c>
      <c r="C2422" s="5" t="s">
        <v>17</v>
      </c>
      <c r="D2422" s="5" t="s">
        <v>18</v>
      </c>
      <c r="E2422" s="5" t="s">
        <v>361</v>
      </c>
      <c r="F2422" s="9">
        <v>113</v>
      </c>
      <c r="G2422" s="9">
        <v>1322</v>
      </c>
      <c r="H2422" s="5" t="s">
        <v>20</v>
      </c>
      <c r="I2422" s="5" t="s">
        <v>5812</v>
      </c>
      <c r="J2422" s="12" t="str">
        <f>HYPERLINK("https://www.boe.es/gazeta/dias/1807/12/22/pdfs/GMD-1807-113.pdf#page=10","Abrir facsímil")</f>
        <v>Abrir facsímil</v>
      </c>
      <c r="K2422" s="15" t="s">
        <v>22</v>
      </c>
    </row>
    <row r="2423" spans="1:11" ht="42" customHeight="1">
      <c r="A2423" s="4" t="s">
        <v>5813</v>
      </c>
      <c r="B2423" s="5" t="s">
        <v>5813</v>
      </c>
      <c r="C2423" s="5" t="s">
        <v>17</v>
      </c>
      <c r="D2423" s="5" t="s">
        <v>18</v>
      </c>
      <c r="E2423" s="5" t="s">
        <v>793</v>
      </c>
      <c r="F2423" s="9">
        <v>87</v>
      </c>
      <c r="G2423" s="9">
        <v>1009</v>
      </c>
      <c r="H2423" s="5" t="s">
        <v>20</v>
      </c>
      <c r="I2423" s="5" t="s">
        <v>5814</v>
      </c>
      <c r="J2423" s="12" t="str">
        <f>HYPERLINK("https://www.boe.es/gazeta/dias/1807/09/29/pdfs/GMD-1807-87.pdf#page=9","Abrir facsímil")</f>
        <v>Abrir facsímil</v>
      </c>
      <c r="K2423" s="15" t="s">
        <v>22</v>
      </c>
    </row>
    <row r="2424" spans="1:11" ht="42" customHeight="1">
      <c r="A2424" s="4" t="s">
        <v>5815</v>
      </c>
      <c r="B2424" s="5" t="s">
        <v>5815</v>
      </c>
      <c r="C2424" s="5" t="s">
        <v>17</v>
      </c>
      <c r="D2424" s="5" t="s">
        <v>18</v>
      </c>
      <c r="E2424" s="5" t="s">
        <v>152</v>
      </c>
      <c r="F2424" s="9">
        <v>61</v>
      </c>
      <c r="G2424" s="9">
        <v>720</v>
      </c>
      <c r="H2424" s="5" t="s">
        <v>20</v>
      </c>
      <c r="I2424" s="5" t="s">
        <v>5816</v>
      </c>
      <c r="J2424" s="12" t="str">
        <f>HYPERLINK("https://www.boe.es/gazeta/dias/1807/07/14/pdfs/GMD-1807-61.pdf#page=6","Abrir facsímil")</f>
        <v>Abrir facsímil</v>
      </c>
      <c r="K2424" s="15" t="s">
        <v>22</v>
      </c>
    </row>
    <row r="2425" spans="1:11" ht="42" customHeight="1">
      <c r="A2425" s="4" t="s">
        <v>5817</v>
      </c>
      <c r="B2425" s="5" t="s">
        <v>5817</v>
      </c>
      <c r="C2425" s="5" t="s">
        <v>28</v>
      </c>
      <c r="D2425" s="5" t="s">
        <v>29</v>
      </c>
      <c r="E2425" s="5" t="s">
        <v>40</v>
      </c>
      <c r="F2425" s="9">
        <v>26</v>
      </c>
      <c r="G2425" s="9">
        <v>312</v>
      </c>
      <c r="H2425" s="5" t="s">
        <v>20</v>
      </c>
      <c r="I2425" s="5" t="s">
        <v>5818</v>
      </c>
      <c r="J2425" s="12" t="str">
        <f>HYPERLINK("https://www.boe.es/gazeta/dias/1807/03/20/pdfs/GMD-1807-26.pdf#page=8","Abrir facsímil")</f>
        <v>Abrir facsímil</v>
      </c>
      <c r="K2425" s="15" t="s">
        <v>22</v>
      </c>
    </row>
    <row r="2426" spans="1:11" ht="42" customHeight="1">
      <c r="A2426" s="4" t="s">
        <v>5819</v>
      </c>
      <c r="B2426" s="5" t="s">
        <v>5819</v>
      </c>
      <c r="C2426" s="5" t="s">
        <v>89</v>
      </c>
      <c r="D2426" s="5" t="s">
        <v>90</v>
      </c>
      <c r="E2426" s="5" t="s">
        <v>86</v>
      </c>
      <c r="F2426" s="9">
        <v>12</v>
      </c>
      <c r="G2426" s="9">
        <v>140</v>
      </c>
      <c r="H2426" s="5" t="s">
        <v>20</v>
      </c>
      <c r="I2426" s="5" t="s">
        <v>5820</v>
      </c>
      <c r="J2426" s="12" t="str">
        <f>HYPERLINK("https://www.boe.es/gazeta/dias/1807/02/03/pdfs/GMD-1807-12.pdf#page=12","Abrir facsímil")</f>
        <v>Abrir facsímil</v>
      </c>
      <c r="K2426" s="15" t="s">
        <v>22</v>
      </c>
    </row>
    <row r="2427" spans="1:11" ht="42" customHeight="1">
      <c r="A2427" s="4" t="s">
        <v>5821</v>
      </c>
      <c r="B2427" s="5" t="s">
        <v>5821</v>
      </c>
      <c r="C2427" s="5" t="s">
        <v>34</v>
      </c>
      <c r="D2427" s="5" t="s">
        <v>35</v>
      </c>
      <c r="E2427" s="5" t="s">
        <v>208</v>
      </c>
      <c r="F2427" s="9">
        <v>42</v>
      </c>
      <c r="G2427" s="9">
        <v>501</v>
      </c>
      <c r="H2427" s="5" t="s">
        <v>20</v>
      </c>
      <c r="I2427" s="5" t="s">
        <v>5822</v>
      </c>
      <c r="J2427" s="12" t="str">
        <f>HYPERLINK("https://www.boe.es/gazeta/dias/1807/05/15/pdfs/GMD-1807-42.pdf#page=7","Abrir facsímil")</f>
        <v>Abrir facsímil</v>
      </c>
      <c r="K2427" s="15" t="s">
        <v>22</v>
      </c>
    </row>
    <row r="2428" spans="1:11" ht="42" customHeight="1">
      <c r="A2428" s="4" t="s">
        <v>5823</v>
      </c>
      <c r="B2428" s="5" t="s">
        <v>5824</v>
      </c>
      <c r="C2428" s="5" t="s">
        <v>69</v>
      </c>
      <c r="D2428" s="5" t="s">
        <v>70</v>
      </c>
      <c r="E2428" s="5" t="s">
        <v>71</v>
      </c>
      <c r="F2428" s="9">
        <v>35</v>
      </c>
      <c r="G2428" s="9" t="s">
        <v>197</v>
      </c>
      <c r="H2428" s="5" t="s">
        <v>20</v>
      </c>
      <c r="I2428" s="5" t="s">
        <v>5825</v>
      </c>
      <c r="J2428" s="12" t="str">
        <f>HYPERLINK("https://www.boe.es/gazeta/dias/1807/04/21/pdfs/C00001-00004.pdf#page=3","Abrir facsímil")</f>
        <v>Abrir facsímil</v>
      </c>
      <c r="K2428" s="15" t="s">
        <v>22</v>
      </c>
    </row>
    <row r="2429" spans="1:11" ht="42" customHeight="1">
      <c r="A2429" s="4" t="s">
        <v>5826</v>
      </c>
      <c r="B2429" s="5" t="s">
        <v>5826</v>
      </c>
      <c r="C2429" s="5" t="s">
        <v>34</v>
      </c>
      <c r="D2429" s="5" t="s">
        <v>35</v>
      </c>
      <c r="E2429" s="5" t="s">
        <v>464</v>
      </c>
      <c r="F2429" s="9">
        <v>18</v>
      </c>
      <c r="G2429" s="9">
        <v>213</v>
      </c>
      <c r="H2429" s="5" t="s">
        <v>20</v>
      </c>
      <c r="I2429" s="5" t="s">
        <v>5827</v>
      </c>
      <c r="J2429" s="12" t="str">
        <f>HYPERLINK("https://www.boe.es/gazeta/dias/1807/02/24/pdfs/GMD-1807-18.pdf#page=13","Abrir facsímil")</f>
        <v>Abrir facsímil</v>
      </c>
      <c r="K2429" s="15" t="s">
        <v>22</v>
      </c>
    </row>
    <row r="2430" spans="1:11" ht="42" customHeight="1">
      <c r="A2430" s="4" t="s">
        <v>5828</v>
      </c>
      <c r="B2430" s="5" t="s">
        <v>5828</v>
      </c>
      <c r="C2430" s="5" t="s">
        <v>34</v>
      </c>
      <c r="D2430" s="5" t="s">
        <v>35</v>
      </c>
      <c r="E2430" s="5" t="s">
        <v>444</v>
      </c>
      <c r="F2430" s="9">
        <v>95</v>
      </c>
      <c r="G2430" s="9">
        <v>1105</v>
      </c>
      <c r="H2430" s="5" t="s">
        <v>20</v>
      </c>
      <c r="I2430" s="5" t="s">
        <v>5829</v>
      </c>
      <c r="J2430" s="12" t="str">
        <f>HYPERLINK("https://www.boe.es/gazeta/dias/1807/10/23/pdfs/GMD-1807-95.pdf#page=9","Abrir facsímil")</f>
        <v>Abrir facsímil</v>
      </c>
      <c r="K2430" s="15" t="s">
        <v>22</v>
      </c>
    </row>
    <row r="2431" spans="1:11" ht="42" customHeight="1">
      <c r="A2431" s="4" t="s">
        <v>5830</v>
      </c>
      <c r="B2431" s="5" t="s">
        <v>5831</v>
      </c>
      <c r="C2431" s="5" t="s">
        <v>28</v>
      </c>
      <c r="D2431" s="5" t="s">
        <v>29</v>
      </c>
      <c r="E2431" s="5" t="s">
        <v>176</v>
      </c>
      <c r="F2431" s="9">
        <v>17</v>
      </c>
      <c r="G2431" s="9">
        <v>199</v>
      </c>
      <c r="H2431" s="5" t="s">
        <v>20</v>
      </c>
      <c r="I2431" s="5" t="s">
        <v>5832</v>
      </c>
      <c r="J2431" s="12" t="str">
        <f>HYPERLINK("https://www.boe.es/gazeta/dias/1807/02/20/pdfs/GMD-1807-17.pdf#page=11","Abrir facsímil")</f>
        <v>Abrir facsímil</v>
      </c>
      <c r="K2431" s="15" t="s">
        <v>22</v>
      </c>
    </row>
    <row r="2432" spans="1:11" ht="42" customHeight="1">
      <c r="A2432" s="4" t="s">
        <v>5833</v>
      </c>
      <c r="B2432" s="5" t="s">
        <v>5833</v>
      </c>
      <c r="C2432" s="5" t="s">
        <v>34</v>
      </c>
      <c r="D2432" s="5" t="s">
        <v>35</v>
      </c>
      <c r="E2432" s="5" t="s">
        <v>104</v>
      </c>
      <c r="F2432" s="9">
        <v>25</v>
      </c>
      <c r="G2432" s="9">
        <v>301</v>
      </c>
      <c r="H2432" s="5" t="s">
        <v>20</v>
      </c>
      <c r="I2432" s="5" t="s">
        <v>5834</v>
      </c>
      <c r="J2432" s="12" t="str">
        <f>HYPERLINK("https://www.boe.es/gazeta/dias/1807/03/17/pdfs/GMD-1807-25.pdf#page=9","Abrir facsímil")</f>
        <v>Abrir facsímil</v>
      </c>
      <c r="K2432" s="15" t="s">
        <v>22</v>
      </c>
    </row>
    <row r="2433" spans="1:11" ht="42" customHeight="1">
      <c r="A2433" s="4" t="s">
        <v>5835</v>
      </c>
      <c r="B2433" s="5" t="s">
        <v>5835</v>
      </c>
      <c r="C2433" s="5" t="s">
        <v>28</v>
      </c>
      <c r="D2433" s="5" t="s">
        <v>29</v>
      </c>
      <c r="E2433" s="5" t="s">
        <v>471</v>
      </c>
      <c r="F2433" s="9">
        <v>51</v>
      </c>
      <c r="G2433" s="9">
        <v>607</v>
      </c>
      <c r="H2433" s="5" t="s">
        <v>20</v>
      </c>
      <c r="I2433" s="5" t="s">
        <v>5836</v>
      </c>
      <c r="J2433" s="12" t="str">
        <f>HYPERLINK("https://www.boe.es/gazeta/dias/1807/06/16/pdfs/GMD-1807-51.pdf#page=9","Abrir facsímil")</f>
        <v>Abrir facsímil</v>
      </c>
      <c r="K2433" s="15" t="s">
        <v>22</v>
      </c>
    </row>
    <row r="2434" spans="1:11" ht="42" customHeight="1">
      <c r="A2434" s="4" t="s">
        <v>5837</v>
      </c>
      <c r="B2434" s="5" t="s">
        <v>5838</v>
      </c>
      <c r="C2434" s="5" t="s">
        <v>34</v>
      </c>
      <c r="D2434" s="5" t="s">
        <v>35</v>
      </c>
      <c r="E2434" s="5" t="s">
        <v>270</v>
      </c>
      <c r="F2434" s="9">
        <v>8</v>
      </c>
      <c r="G2434" s="9">
        <v>92</v>
      </c>
      <c r="H2434" s="5" t="s">
        <v>20</v>
      </c>
      <c r="I2434" s="5" t="s">
        <v>5839</v>
      </c>
      <c r="J2434" s="12" t="str">
        <f>HYPERLINK("https://www.boe.es/gazeta/dias/1807/01/23/pdfs/GMD-1807-8.pdf#page=8","Abrir facsímil")</f>
        <v>Abrir facsímil</v>
      </c>
      <c r="K2434" s="15" t="s">
        <v>22</v>
      </c>
    </row>
    <row r="2435" spans="1:11" ht="42" customHeight="1">
      <c r="A2435" s="4" t="s">
        <v>5840</v>
      </c>
      <c r="B2435" s="5" t="s">
        <v>5840</v>
      </c>
      <c r="C2435" s="5" t="s">
        <v>49</v>
      </c>
      <c r="D2435" s="5" t="s">
        <v>50</v>
      </c>
      <c r="E2435" s="5" t="s">
        <v>447</v>
      </c>
      <c r="F2435" s="9">
        <v>65</v>
      </c>
      <c r="G2435" s="9">
        <v>751</v>
      </c>
      <c r="H2435" s="5" t="s">
        <v>20</v>
      </c>
      <c r="I2435" s="5" t="s">
        <v>5841</v>
      </c>
      <c r="J2435" s="12" t="str">
        <f>HYPERLINK("https://www.boe.es/gazeta/dias/1807/07/24/pdfs/GMD-1807-65.pdf#page=1","Abrir facsímil")</f>
        <v>Abrir facsímil</v>
      </c>
      <c r="K2435" s="15" t="s">
        <v>22</v>
      </c>
    </row>
    <row r="2436" spans="1:11" ht="42" customHeight="1">
      <c r="A2436" s="4" t="s">
        <v>5842</v>
      </c>
      <c r="B2436" s="5" t="s">
        <v>5842</v>
      </c>
      <c r="C2436" s="5" t="s">
        <v>49</v>
      </c>
      <c r="D2436" s="5" t="s">
        <v>50</v>
      </c>
      <c r="E2436" s="5" t="s">
        <v>1076</v>
      </c>
      <c r="F2436" s="9">
        <v>96</v>
      </c>
      <c r="G2436" s="9">
        <v>1114</v>
      </c>
      <c r="H2436" s="5" t="s">
        <v>20</v>
      </c>
      <c r="I2436" s="5" t="s">
        <v>5843</v>
      </c>
      <c r="J2436" s="12" t="str">
        <f>HYPERLINK("https://www.boe.es/gazeta/dias/1807/10/27/pdfs/GMD-1807-96.pdf#page=6","Abrir facsímil")</f>
        <v>Abrir facsímil</v>
      </c>
      <c r="K2436" s="15" t="s">
        <v>22</v>
      </c>
    </row>
    <row r="2437" spans="1:11" ht="42" customHeight="1">
      <c r="A2437" s="4" t="s">
        <v>5844</v>
      </c>
      <c r="B2437" s="5" t="s">
        <v>5845</v>
      </c>
      <c r="C2437" s="5" t="s">
        <v>34</v>
      </c>
      <c r="D2437" s="5" t="s">
        <v>35</v>
      </c>
      <c r="E2437" s="5" t="s">
        <v>478</v>
      </c>
      <c r="F2437" s="9">
        <v>30</v>
      </c>
      <c r="G2437" s="9">
        <v>349</v>
      </c>
      <c r="H2437" s="5" t="s">
        <v>20</v>
      </c>
      <c r="I2437" s="5" t="s">
        <v>5846</v>
      </c>
      <c r="J2437" s="12" t="str">
        <f>HYPERLINK("https://www.boe.es/gazeta/dias/1807/04/03/pdfs/GMD-1807-30.pdf#page=1","Abrir facsímil")</f>
        <v>Abrir facsímil</v>
      </c>
      <c r="K2437" s="15" t="s">
        <v>22</v>
      </c>
    </row>
    <row r="2438" spans="1:11" ht="42" customHeight="1">
      <c r="A2438" s="4" t="s">
        <v>5847</v>
      </c>
      <c r="B2438" s="5" t="s">
        <v>5847</v>
      </c>
      <c r="C2438" s="5" t="s">
        <v>49</v>
      </c>
      <c r="D2438" s="5" t="s">
        <v>50</v>
      </c>
      <c r="E2438" s="5" t="s">
        <v>111</v>
      </c>
      <c r="F2438" s="9">
        <v>90</v>
      </c>
      <c r="G2438" s="9">
        <v>1034</v>
      </c>
      <c r="H2438" s="5" t="s">
        <v>20</v>
      </c>
      <c r="I2438" s="5" t="s">
        <v>5848</v>
      </c>
      <c r="J2438" s="12" t="str">
        <f>HYPERLINK("https://www.boe.es/gazeta/dias/1807/10/06/pdfs/GMD-1807-90.pdf#page=2","Abrir facsímil")</f>
        <v>Abrir facsímil</v>
      </c>
      <c r="K2438" s="15" t="s">
        <v>22</v>
      </c>
    </row>
    <row r="2439" spans="1:11" ht="42" customHeight="1">
      <c r="A2439" s="4" t="s">
        <v>5849</v>
      </c>
      <c r="B2439" s="5" t="s">
        <v>5850</v>
      </c>
      <c r="C2439" s="5" t="s">
        <v>24</v>
      </c>
      <c r="D2439" s="5" t="s">
        <v>18</v>
      </c>
      <c r="E2439" s="5" t="s">
        <v>46</v>
      </c>
      <c r="F2439" s="9">
        <v>78</v>
      </c>
      <c r="G2439" s="9">
        <v>904</v>
      </c>
      <c r="H2439" s="5" t="s">
        <v>20</v>
      </c>
      <c r="I2439" s="5" t="s">
        <v>5851</v>
      </c>
      <c r="J2439" s="12" t="str">
        <f>HYPERLINK("https://www.boe.es/gazeta/dias/1807/09/01/pdfs/GMD-1807-78.pdf#page=8","Abrir facsímil")</f>
        <v>Abrir facsímil</v>
      </c>
      <c r="K2439" s="15" t="s">
        <v>22</v>
      </c>
    </row>
    <row r="2440" spans="1:11" ht="42" customHeight="1">
      <c r="A2440" s="4" t="s">
        <v>5852</v>
      </c>
      <c r="B2440" s="5" t="s">
        <v>5852</v>
      </c>
      <c r="C2440" s="5" t="s">
        <v>49</v>
      </c>
      <c r="D2440" s="5" t="s">
        <v>50</v>
      </c>
      <c r="E2440" s="5" t="s">
        <v>46</v>
      </c>
      <c r="F2440" s="9">
        <v>78</v>
      </c>
      <c r="G2440" s="9">
        <v>898</v>
      </c>
      <c r="H2440" s="5" t="s">
        <v>20</v>
      </c>
      <c r="I2440" s="5" t="s">
        <v>5853</v>
      </c>
      <c r="J2440" s="12" t="str">
        <f>HYPERLINK("https://www.boe.es/gazeta/dias/1807/09/01/pdfs/GMD-1807-78.pdf#page=2","Abrir facsímil")</f>
        <v>Abrir facsímil</v>
      </c>
      <c r="K2440" s="15" t="s">
        <v>22</v>
      </c>
    </row>
    <row r="2441" spans="1:11" ht="42" customHeight="1">
      <c r="A2441" s="4" t="s">
        <v>5854</v>
      </c>
      <c r="B2441" s="5" t="s">
        <v>5855</v>
      </c>
      <c r="C2441" s="5" t="s">
        <v>49</v>
      </c>
      <c r="D2441" s="5" t="s">
        <v>50</v>
      </c>
      <c r="E2441" s="5" t="s">
        <v>79</v>
      </c>
      <c r="F2441" s="9">
        <v>11</v>
      </c>
      <c r="G2441" s="9">
        <v>117</v>
      </c>
      <c r="H2441" s="5" t="s">
        <v>20</v>
      </c>
      <c r="I2441" s="5" t="s">
        <v>5856</v>
      </c>
      <c r="J2441" s="12" t="str">
        <f>HYPERLINK("https://www.boe.es/gazeta/dias/1807/01/30/pdfs/GMD-1807-11.pdf#page=1","Abrir facsímil")</f>
        <v>Abrir facsímil</v>
      </c>
      <c r="K2441" s="15" t="s">
        <v>22</v>
      </c>
    </row>
    <row r="2442" spans="1:11" ht="42" customHeight="1">
      <c r="A2442" s="4" t="s">
        <v>5857</v>
      </c>
      <c r="B2442" s="5" t="s">
        <v>5857</v>
      </c>
      <c r="C2442" s="5" t="s">
        <v>49</v>
      </c>
      <c r="D2442" s="5" t="s">
        <v>50</v>
      </c>
      <c r="E2442" s="5" t="s">
        <v>42</v>
      </c>
      <c r="F2442" s="9">
        <v>31</v>
      </c>
      <c r="G2442" s="9">
        <v>363</v>
      </c>
      <c r="H2442" s="5" t="s">
        <v>20</v>
      </c>
      <c r="I2442" s="5" t="s">
        <v>5858</v>
      </c>
      <c r="J2442" s="12" t="str">
        <f>HYPERLINK("https://www.boe.es/gazeta/dias/1807/04/07/pdfs/GMD-1807-31.pdf#page=3","Abrir facsímil")</f>
        <v>Abrir facsímil</v>
      </c>
      <c r="K2442" s="15" t="s">
        <v>22</v>
      </c>
    </row>
    <row r="2443" spans="1:11" ht="42" customHeight="1">
      <c r="A2443" s="4" t="s">
        <v>5857</v>
      </c>
      <c r="B2443" s="5" t="s">
        <v>5857</v>
      </c>
      <c r="C2443" s="5" t="s">
        <v>49</v>
      </c>
      <c r="D2443" s="5" t="s">
        <v>50</v>
      </c>
      <c r="E2443" s="5" t="s">
        <v>42</v>
      </c>
      <c r="F2443" s="9">
        <v>31</v>
      </c>
      <c r="G2443" s="9">
        <v>364</v>
      </c>
      <c r="H2443" s="5" t="s">
        <v>20</v>
      </c>
      <c r="I2443" s="5" t="s">
        <v>5859</v>
      </c>
      <c r="J2443" s="12" t="str">
        <f>HYPERLINK("https://www.boe.es/gazeta/dias/1807/04/07/pdfs/GMD-1807-31.pdf#page=4","Abrir facsímil")</f>
        <v>Abrir facsímil</v>
      </c>
      <c r="K2443" s="15" t="s">
        <v>22</v>
      </c>
    </row>
    <row r="2444" spans="1:11" ht="42" customHeight="1">
      <c r="A2444" s="4" t="s">
        <v>5860</v>
      </c>
      <c r="B2444" s="5" t="s">
        <v>5860</v>
      </c>
      <c r="C2444" s="5" t="s">
        <v>49</v>
      </c>
      <c r="D2444" s="5" t="s">
        <v>50</v>
      </c>
      <c r="E2444" s="5" t="s">
        <v>245</v>
      </c>
      <c r="F2444" s="9">
        <v>97</v>
      </c>
      <c r="G2444" s="9">
        <v>1122</v>
      </c>
      <c r="H2444" s="5" t="s">
        <v>20</v>
      </c>
      <c r="I2444" s="5" t="s">
        <v>5861</v>
      </c>
      <c r="J2444" s="12" t="str">
        <f>HYPERLINK("https://www.boe.es/gazeta/dias/1807/10/30/pdfs/GMD-1807-97.pdf#page=2","Abrir facsímil")</f>
        <v>Abrir facsímil</v>
      </c>
      <c r="K2444" s="15" t="s">
        <v>22</v>
      </c>
    </row>
    <row r="2445" spans="1:11" ht="42" customHeight="1">
      <c r="A2445" s="4" t="s">
        <v>5862</v>
      </c>
      <c r="B2445" s="5" t="s">
        <v>5862</v>
      </c>
      <c r="C2445" s="5" t="s">
        <v>34</v>
      </c>
      <c r="D2445" s="5" t="s">
        <v>35</v>
      </c>
      <c r="E2445" s="5" t="s">
        <v>91</v>
      </c>
      <c r="F2445" s="9">
        <v>109</v>
      </c>
      <c r="G2445" s="9">
        <v>1273</v>
      </c>
      <c r="H2445" s="5" t="s">
        <v>20</v>
      </c>
      <c r="I2445" s="5" t="s">
        <v>5863</v>
      </c>
      <c r="J2445" s="12" t="str">
        <f>HYPERLINK("https://www.boe.es/gazeta/dias/1807/12/08/pdfs/GMD-1807-109.pdf#page=9","Abrir facsímil")</f>
        <v>Abrir facsímil</v>
      </c>
      <c r="K2445" s="15" t="s">
        <v>22</v>
      </c>
    </row>
    <row r="2446" spans="1:11" ht="42" customHeight="1">
      <c r="A2446" s="4" t="s">
        <v>5864</v>
      </c>
      <c r="B2446" s="5" t="s">
        <v>5865</v>
      </c>
      <c r="C2446" s="5" t="s">
        <v>28</v>
      </c>
      <c r="D2446" s="5" t="s">
        <v>29</v>
      </c>
      <c r="E2446" s="5" t="s">
        <v>36</v>
      </c>
      <c r="F2446" s="9">
        <v>36</v>
      </c>
      <c r="G2446" s="9">
        <v>430</v>
      </c>
      <c r="H2446" s="5" t="s">
        <v>20</v>
      </c>
      <c r="I2446" s="5" t="s">
        <v>5866</v>
      </c>
      <c r="J2446" s="12" t="str">
        <f>HYPERLINK("https://www.boe.es/gazeta/dias/1807/04/24/pdfs/GMD-1807-36.pdf#page=10","Abrir facsímil")</f>
        <v>Abrir facsímil</v>
      </c>
      <c r="K2446" s="15" t="s">
        <v>22</v>
      </c>
    </row>
    <row r="2447" spans="1:11" ht="42" customHeight="1">
      <c r="A2447" s="4" t="s">
        <v>5867</v>
      </c>
      <c r="B2447" s="5" t="s">
        <v>5867</v>
      </c>
      <c r="C2447" s="5" t="s">
        <v>34</v>
      </c>
      <c r="D2447" s="5" t="s">
        <v>35</v>
      </c>
      <c r="E2447" s="5" t="s">
        <v>471</v>
      </c>
      <c r="F2447" s="9">
        <v>51</v>
      </c>
      <c r="G2447" s="9">
        <v>603</v>
      </c>
      <c r="H2447" s="5" t="s">
        <v>20</v>
      </c>
      <c r="I2447" s="5" t="s">
        <v>5868</v>
      </c>
      <c r="J2447" s="12" t="str">
        <f>HYPERLINK("https://www.boe.es/gazeta/dias/1807/06/16/pdfs/GMD-1807-51.pdf#page=5","Abrir facsímil")</f>
        <v>Abrir facsímil</v>
      </c>
      <c r="K2447" s="15" t="s">
        <v>22</v>
      </c>
    </row>
    <row r="2448" spans="1:11" ht="42" customHeight="1">
      <c r="A2448" s="4" t="s">
        <v>5869</v>
      </c>
      <c r="B2448" s="5" t="s">
        <v>5869</v>
      </c>
      <c r="C2448" s="5" t="s">
        <v>28</v>
      </c>
      <c r="D2448" s="5" t="s">
        <v>29</v>
      </c>
      <c r="E2448" s="5" t="s">
        <v>208</v>
      </c>
      <c r="F2448" s="9">
        <v>42</v>
      </c>
      <c r="G2448" s="9">
        <v>502</v>
      </c>
      <c r="H2448" s="5" t="s">
        <v>20</v>
      </c>
      <c r="I2448" s="5" t="s">
        <v>5870</v>
      </c>
      <c r="J2448" s="12" t="str">
        <f>HYPERLINK("https://www.boe.es/gazeta/dias/1807/05/15/pdfs/GMD-1807-42.pdf#page=8","Abrir facsímil")</f>
        <v>Abrir facsímil</v>
      </c>
      <c r="K2448" s="15" t="s">
        <v>22</v>
      </c>
    </row>
    <row r="2449" spans="1:11" ht="42" customHeight="1">
      <c r="A2449" s="4" t="s">
        <v>5871</v>
      </c>
      <c r="B2449" s="5" t="s">
        <v>5871</v>
      </c>
      <c r="C2449" s="5" t="s">
        <v>17</v>
      </c>
      <c r="D2449" s="5" t="s">
        <v>18</v>
      </c>
      <c r="E2449" s="5" t="s">
        <v>111</v>
      </c>
      <c r="F2449" s="9">
        <v>90</v>
      </c>
      <c r="G2449" s="9">
        <v>1044</v>
      </c>
      <c r="H2449" s="5" t="s">
        <v>20</v>
      </c>
      <c r="I2449" s="5" t="s">
        <v>5872</v>
      </c>
      <c r="J2449" s="12" t="str">
        <f>HYPERLINK("https://www.boe.es/gazeta/dias/1807/10/06/pdfs/GMD-1807-90.pdf#page=12","Abrir facsímil")</f>
        <v>Abrir facsímil</v>
      </c>
      <c r="K2449" s="15" t="s">
        <v>22</v>
      </c>
    </row>
    <row r="2450" spans="1:11" ht="42" customHeight="1">
      <c r="A2450" s="4" t="s">
        <v>5873</v>
      </c>
      <c r="B2450" s="5" t="s">
        <v>5873</v>
      </c>
      <c r="C2450" s="5" t="s">
        <v>34</v>
      </c>
      <c r="D2450" s="5" t="s">
        <v>35</v>
      </c>
      <c r="E2450" s="5" t="s">
        <v>319</v>
      </c>
      <c r="F2450" s="9">
        <v>54</v>
      </c>
      <c r="G2450" s="9">
        <v>645</v>
      </c>
      <c r="H2450" s="5" t="s">
        <v>20</v>
      </c>
      <c r="I2450" s="5" t="s">
        <v>5874</v>
      </c>
      <c r="J2450" s="12" t="str">
        <f>HYPERLINK("https://www.boe.es/gazeta/dias/1807/06/26/pdfs/GMD-1807-54.pdf#page=7","Abrir facsímil")</f>
        <v>Abrir facsímil</v>
      </c>
      <c r="K2450" s="15" t="s">
        <v>22</v>
      </c>
    </row>
    <row r="2451" spans="1:11" ht="42" customHeight="1">
      <c r="A2451" s="4" t="s">
        <v>5875</v>
      </c>
      <c r="B2451" s="5" t="s">
        <v>5876</v>
      </c>
      <c r="C2451" s="5" t="s">
        <v>28</v>
      </c>
      <c r="D2451" s="5" t="s">
        <v>29</v>
      </c>
      <c r="E2451" s="5" t="s">
        <v>101</v>
      </c>
      <c r="F2451" s="9">
        <v>23</v>
      </c>
      <c r="G2451" s="9">
        <v>271</v>
      </c>
      <c r="H2451" s="5" t="s">
        <v>20</v>
      </c>
      <c r="I2451" s="5" t="s">
        <v>5877</v>
      </c>
      <c r="J2451" s="12" t="str">
        <f>HYPERLINK("https://www.boe.es/gazeta/dias/1807/03/10/pdfs/GMD-1807-23.pdf#page=11","Abrir facsímil")</f>
        <v>Abrir facsímil</v>
      </c>
      <c r="K2451" s="15" t="s">
        <v>22</v>
      </c>
    </row>
    <row r="2452" spans="1:11" ht="42" customHeight="1">
      <c r="A2452" s="4" t="s">
        <v>5878</v>
      </c>
      <c r="B2452" s="5" t="s">
        <v>5878</v>
      </c>
      <c r="C2452" s="5" t="s">
        <v>28</v>
      </c>
      <c r="D2452" s="5" t="s">
        <v>29</v>
      </c>
      <c r="E2452" s="5" t="s">
        <v>156</v>
      </c>
      <c r="F2452" s="9">
        <v>74</v>
      </c>
      <c r="G2452" s="9">
        <v>857</v>
      </c>
      <c r="H2452" s="5" t="s">
        <v>20</v>
      </c>
      <c r="I2452" s="5" t="s">
        <v>5879</v>
      </c>
      <c r="J2452" s="12" t="str">
        <f>HYPERLINK("https://www.boe.es/gazeta/dias/1807/08/18/pdfs/GMD-1807-74.pdf#page=9","Abrir facsímil")</f>
        <v>Abrir facsímil</v>
      </c>
      <c r="K2452" s="15" t="s">
        <v>22</v>
      </c>
    </row>
    <row r="2453" spans="1:11" ht="42" customHeight="1">
      <c r="A2453" s="4" t="s">
        <v>5880</v>
      </c>
      <c r="B2453" s="5" t="s">
        <v>5881</v>
      </c>
      <c r="C2453" s="5" t="s">
        <v>24</v>
      </c>
      <c r="D2453" s="5" t="s">
        <v>18</v>
      </c>
      <c r="E2453" s="5" t="s">
        <v>1354</v>
      </c>
      <c r="F2453" s="9">
        <v>83</v>
      </c>
      <c r="G2453" s="9">
        <v>970</v>
      </c>
      <c r="H2453" s="5" t="s">
        <v>20</v>
      </c>
      <c r="I2453" s="5" t="s">
        <v>5882</v>
      </c>
      <c r="J2453" s="12" t="str">
        <f>HYPERLINK("https://www.boe.es/gazeta/dias/1807/09/18/pdfs/GMD-1807-83.pdf#page=10","Abrir facsímil")</f>
        <v>Abrir facsímil</v>
      </c>
      <c r="K2453" s="15" t="s">
        <v>22</v>
      </c>
    </row>
    <row r="2454" spans="1:11" ht="42" customHeight="1">
      <c r="A2454" s="4" t="s">
        <v>5883</v>
      </c>
      <c r="B2454" s="5" t="s">
        <v>5883</v>
      </c>
      <c r="C2454" s="5" t="s">
        <v>17</v>
      </c>
      <c r="D2454" s="5" t="s">
        <v>18</v>
      </c>
      <c r="E2454" s="5" t="s">
        <v>245</v>
      </c>
      <c r="F2454" s="9">
        <v>97</v>
      </c>
      <c r="G2454" s="9">
        <v>1131</v>
      </c>
      <c r="H2454" s="5" t="s">
        <v>20</v>
      </c>
      <c r="I2454" s="5" t="s">
        <v>5884</v>
      </c>
      <c r="J2454" s="12" t="str">
        <f>HYPERLINK("https://www.boe.es/gazeta/dias/1807/10/30/pdfs/GMD-1807-97.pdf#page=11","Abrir facsímil")</f>
        <v>Abrir facsímil</v>
      </c>
      <c r="K2454" s="15" t="s">
        <v>22</v>
      </c>
    </row>
    <row r="2455" spans="1:11" ht="42" customHeight="1">
      <c r="A2455" s="4" t="s">
        <v>5885</v>
      </c>
      <c r="B2455" s="5" t="s">
        <v>5885</v>
      </c>
      <c r="C2455" s="5" t="s">
        <v>28</v>
      </c>
      <c r="D2455" s="5" t="s">
        <v>29</v>
      </c>
      <c r="E2455" s="5" t="s">
        <v>567</v>
      </c>
      <c r="F2455" s="9">
        <v>55</v>
      </c>
      <c r="G2455" s="9">
        <v>658</v>
      </c>
      <c r="H2455" s="5" t="s">
        <v>20</v>
      </c>
      <c r="I2455" s="5" t="s">
        <v>5886</v>
      </c>
      <c r="J2455" s="12" t="str">
        <f>HYPERLINK("https://www.boe.es/gazeta/dias/1807/06/30/pdfs/GMD-1807-55.pdf#page=8","Abrir facsímil")</f>
        <v>Abrir facsímil</v>
      </c>
      <c r="K2455" s="15" t="s">
        <v>22</v>
      </c>
    </row>
    <row r="2456" spans="1:11" ht="42" customHeight="1">
      <c r="A2456" s="4" t="s">
        <v>5887</v>
      </c>
      <c r="B2456" s="5" t="s">
        <v>5887</v>
      </c>
      <c r="C2456" s="5" t="s">
        <v>34</v>
      </c>
      <c r="D2456" s="5" t="s">
        <v>35</v>
      </c>
      <c r="E2456" s="5" t="s">
        <v>51</v>
      </c>
      <c r="F2456" s="9">
        <v>62</v>
      </c>
      <c r="G2456" s="9">
        <v>730</v>
      </c>
      <c r="H2456" s="5" t="s">
        <v>20</v>
      </c>
      <c r="I2456" s="5" t="s">
        <v>5888</v>
      </c>
      <c r="J2456" s="12" t="str">
        <f>HYPERLINK("https://www.boe.es/gazeta/dias/1807/07/17/pdfs/GMD-1807-62.pdf#page=4","Abrir facsímil")</f>
        <v>Abrir facsímil</v>
      </c>
      <c r="K2456" s="15" t="s">
        <v>22</v>
      </c>
    </row>
    <row r="2457" spans="1:11" ht="42" customHeight="1">
      <c r="A2457" s="4" t="s">
        <v>5887</v>
      </c>
      <c r="B2457" s="5" t="s">
        <v>5887</v>
      </c>
      <c r="C2457" s="5" t="s">
        <v>49</v>
      </c>
      <c r="D2457" s="5" t="s">
        <v>50</v>
      </c>
      <c r="E2457" s="5" t="s">
        <v>581</v>
      </c>
      <c r="F2457" s="9">
        <v>71</v>
      </c>
      <c r="G2457" s="9">
        <v>812</v>
      </c>
      <c r="H2457" s="5" t="s">
        <v>20</v>
      </c>
      <c r="I2457" s="5" t="s">
        <v>5889</v>
      </c>
      <c r="J2457" s="12" t="str">
        <f>HYPERLINK("https://www.boe.es/gazeta/dias/1807/08/07/pdfs/GMD-1807-71.pdf#page=4","Abrir facsímil")</f>
        <v>Abrir facsímil</v>
      </c>
      <c r="K2457" s="15" t="s">
        <v>22</v>
      </c>
    </row>
    <row r="2458" spans="1:11" ht="42" customHeight="1">
      <c r="A2458" s="4" t="s">
        <v>5890</v>
      </c>
      <c r="B2458" s="5" t="s">
        <v>5890</v>
      </c>
      <c r="C2458" s="5" t="s">
        <v>34</v>
      </c>
      <c r="D2458" s="5" t="s">
        <v>35</v>
      </c>
      <c r="E2458" s="5" t="s">
        <v>3230</v>
      </c>
      <c r="F2458" s="9">
        <v>27</v>
      </c>
      <c r="G2458" s="9">
        <v>323</v>
      </c>
      <c r="H2458" s="5" t="s">
        <v>20</v>
      </c>
      <c r="I2458" s="5" t="s">
        <v>5891</v>
      </c>
      <c r="J2458" s="12" t="str">
        <f>HYPERLINK("https://www.boe.es/gazeta/dias/1807/03/24/pdfs/GMD-1807-27.pdf#page=7","Abrir facsímil")</f>
        <v>Abrir facsímil</v>
      </c>
      <c r="K2458" s="15" t="s">
        <v>22</v>
      </c>
    </row>
    <row r="2459" spans="1:11" ht="42" customHeight="1">
      <c r="A2459" s="4" t="s">
        <v>5892</v>
      </c>
      <c r="B2459" s="5" t="s">
        <v>5892</v>
      </c>
      <c r="C2459" s="5" t="s">
        <v>49</v>
      </c>
      <c r="D2459" s="5" t="s">
        <v>50</v>
      </c>
      <c r="E2459" s="5" t="s">
        <v>19</v>
      </c>
      <c r="F2459" s="9">
        <v>41</v>
      </c>
      <c r="G2459" s="9">
        <v>485</v>
      </c>
      <c r="H2459" s="5" t="s">
        <v>20</v>
      </c>
      <c r="I2459" s="5" t="s">
        <v>5893</v>
      </c>
      <c r="J2459" s="12" t="str">
        <f>HYPERLINK("https://www.boe.es/gazeta/dias/1807/05/12/pdfs/GMD-1807-41.pdf#page=3","Abrir facsímil")</f>
        <v>Abrir facsímil</v>
      </c>
      <c r="K2459" s="15" t="s">
        <v>22</v>
      </c>
    </row>
    <row r="2460" spans="1:11" ht="42" customHeight="1">
      <c r="A2460" s="4" t="s">
        <v>5894</v>
      </c>
      <c r="B2460" s="5" t="s">
        <v>5894</v>
      </c>
      <c r="C2460" s="5" t="s">
        <v>252</v>
      </c>
      <c r="D2460" s="5" t="s">
        <v>253</v>
      </c>
      <c r="E2460" s="5" t="s">
        <v>314</v>
      </c>
      <c r="F2460" s="9" t="s">
        <v>315</v>
      </c>
      <c r="G2460" s="9">
        <v>1225</v>
      </c>
      <c r="H2460" s="5" t="s">
        <v>20</v>
      </c>
      <c r="I2460" s="5" t="s">
        <v>5895</v>
      </c>
      <c r="J2460" s="12" t="str">
        <f>HYPERLINK("https://www.boe.es/gazeta/dias/1807/11/26/pdfs/GMD-1807-105E.pdf#page=9","Abrir facsímil")</f>
        <v>Abrir facsímil</v>
      </c>
      <c r="K2460" s="15" t="s">
        <v>22</v>
      </c>
    </row>
    <row r="2461" spans="1:11" ht="42" customHeight="1">
      <c r="A2461" s="4" t="s">
        <v>5894</v>
      </c>
      <c r="B2461" s="5" t="s">
        <v>5894</v>
      </c>
      <c r="C2461" s="5" t="s">
        <v>252</v>
      </c>
      <c r="D2461" s="5" t="s">
        <v>253</v>
      </c>
      <c r="E2461" s="5" t="s">
        <v>314</v>
      </c>
      <c r="F2461" s="9" t="s">
        <v>315</v>
      </c>
      <c r="G2461" s="9">
        <v>1226</v>
      </c>
      <c r="H2461" s="5" t="s">
        <v>20</v>
      </c>
      <c r="I2461" s="5" t="s">
        <v>5896</v>
      </c>
      <c r="J2461" s="12" t="str">
        <f>HYPERLINK("https://www.boe.es/gazeta/dias/1807/11/26/pdfs/GMD-1807-105E.pdf#page=10","Abrir facsímil")</f>
        <v>Abrir facsímil</v>
      </c>
      <c r="K2461" s="15" t="s">
        <v>22</v>
      </c>
    </row>
    <row r="2462" spans="1:11" ht="42" customHeight="1">
      <c r="A2462" s="4" t="s">
        <v>5897</v>
      </c>
      <c r="B2462" s="5" t="s">
        <v>5898</v>
      </c>
      <c r="C2462" s="5" t="s">
        <v>28</v>
      </c>
      <c r="D2462" s="5" t="s">
        <v>29</v>
      </c>
      <c r="E2462" s="5" t="s">
        <v>215</v>
      </c>
      <c r="F2462" s="9">
        <v>5</v>
      </c>
      <c r="G2462" s="9">
        <v>45</v>
      </c>
      <c r="H2462" s="5" t="s">
        <v>20</v>
      </c>
      <c r="I2462" s="5" t="s">
        <v>5899</v>
      </c>
      <c r="J2462" s="12" t="str">
        <f>HYPERLINK("https://www.boe.es/gazeta/dias/1807/01/16/pdfs/GMD-1807-5.pdf#page=1","Abrir facsímil")</f>
        <v>Abrir facsímil</v>
      </c>
      <c r="K2462" s="15" t="s">
        <v>22</v>
      </c>
    </row>
    <row r="2463" spans="1:11" ht="42" customHeight="1">
      <c r="A2463" s="4" t="s">
        <v>5900</v>
      </c>
      <c r="B2463" s="5" t="s">
        <v>5900</v>
      </c>
      <c r="C2463" s="5" t="s">
        <v>49</v>
      </c>
      <c r="D2463" s="5" t="s">
        <v>50</v>
      </c>
      <c r="E2463" s="5" t="s">
        <v>464</v>
      </c>
      <c r="F2463" s="9">
        <v>18</v>
      </c>
      <c r="G2463" s="9">
        <v>207</v>
      </c>
      <c r="H2463" s="5" t="s">
        <v>20</v>
      </c>
      <c r="I2463" s="5" t="s">
        <v>5901</v>
      </c>
      <c r="J2463" s="12" t="str">
        <f>HYPERLINK("https://www.boe.es/gazeta/dias/1807/02/24/pdfs/GMD-1807-18.pdf#page=7","Abrir facsímil")</f>
        <v>Abrir facsímil</v>
      </c>
      <c r="K2463" s="15" t="s">
        <v>22</v>
      </c>
    </row>
    <row r="2464" spans="1:11" ht="42" customHeight="1">
      <c r="A2464" s="4" t="s">
        <v>5902</v>
      </c>
      <c r="B2464" s="5" t="s">
        <v>5903</v>
      </c>
      <c r="C2464" s="5" t="s">
        <v>17</v>
      </c>
      <c r="D2464" s="5" t="s">
        <v>18</v>
      </c>
      <c r="E2464" s="5" t="s">
        <v>309</v>
      </c>
      <c r="F2464" s="9">
        <v>107</v>
      </c>
      <c r="G2464" s="9">
        <v>1247</v>
      </c>
      <c r="H2464" s="5" t="s">
        <v>20</v>
      </c>
      <c r="I2464" s="5" t="s">
        <v>5904</v>
      </c>
      <c r="J2464" s="12" t="str">
        <f>HYPERLINK("https://www.boe.es/gazeta/dias/1807/12/01/pdfs/GMD-1807-107.pdf#page=7","Abrir facsímil")</f>
        <v>Abrir facsímil</v>
      </c>
      <c r="K2464" s="15" t="s">
        <v>22</v>
      </c>
    </row>
    <row r="2465" spans="1:11" ht="42" customHeight="1">
      <c r="A2465" s="4" t="s">
        <v>5905</v>
      </c>
      <c r="B2465" s="5" t="s">
        <v>5905</v>
      </c>
      <c r="C2465" s="5" t="s">
        <v>28</v>
      </c>
      <c r="D2465" s="5" t="s">
        <v>29</v>
      </c>
      <c r="E2465" s="5" t="s">
        <v>94</v>
      </c>
      <c r="F2465" s="9">
        <v>22</v>
      </c>
      <c r="G2465" s="9">
        <v>254</v>
      </c>
      <c r="H2465" s="5" t="s">
        <v>20</v>
      </c>
      <c r="I2465" s="5" t="s">
        <v>5906</v>
      </c>
      <c r="J2465" s="12" t="str">
        <f>HYPERLINK("https://www.boe.es/gazeta/dias/1807/03/06/pdfs/GMD-1807-22.pdf#page=6","Abrir facsímil")</f>
        <v>Abrir facsímil</v>
      </c>
      <c r="K2465" s="15" t="s">
        <v>22</v>
      </c>
    </row>
    <row r="2466" spans="1:11" ht="42" customHeight="1">
      <c r="A2466" s="4" t="s">
        <v>5907</v>
      </c>
      <c r="B2466" s="5" t="s">
        <v>5907</v>
      </c>
      <c r="C2466" s="5" t="s">
        <v>24</v>
      </c>
      <c r="D2466" s="5" t="s">
        <v>18</v>
      </c>
      <c r="E2466" s="5" t="s">
        <v>305</v>
      </c>
      <c r="F2466" s="9">
        <v>53</v>
      </c>
      <c r="G2466" s="9">
        <v>635</v>
      </c>
      <c r="H2466" s="5" t="s">
        <v>20</v>
      </c>
      <c r="I2466" s="5" t="s">
        <v>5908</v>
      </c>
      <c r="J2466" s="12" t="str">
        <f>HYPERLINK("https://www.boe.es/gazeta/dias/1807/06/23/pdfs/GMD-1807-53.pdf#page=9","Abrir facsímil")</f>
        <v>Abrir facsímil</v>
      </c>
      <c r="K2466" s="15" t="s">
        <v>22</v>
      </c>
    </row>
    <row r="2467" spans="1:11" ht="42" customHeight="1">
      <c r="A2467" s="4" t="s">
        <v>5909</v>
      </c>
      <c r="B2467" s="5" t="s">
        <v>5909</v>
      </c>
      <c r="C2467" s="5" t="s">
        <v>89</v>
      </c>
      <c r="D2467" s="5" t="s">
        <v>90</v>
      </c>
      <c r="E2467" s="5" t="s">
        <v>76</v>
      </c>
      <c r="F2467" s="9">
        <v>7</v>
      </c>
      <c r="G2467" s="9">
        <v>83</v>
      </c>
      <c r="H2467" s="5" t="s">
        <v>20</v>
      </c>
      <c r="I2467" s="5" t="s">
        <v>5910</v>
      </c>
      <c r="J2467" s="12" t="str">
        <f>HYPERLINK("https://www.boe.es/gazeta/dias/1807/01/20/pdfs/GMD-1807-7.pdf#page=15","Abrir facsímil")</f>
        <v>Abrir facsímil</v>
      </c>
      <c r="K2467" s="15" t="s">
        <v>22</v>
      </c>
    </row>
    <row r="2468" spans="1:11" ht="42" customHeight="1">
      <c r="A2468" s="4" t="s">
        <v>5909</v>
      </c>
      <c r="B2468" s="5" t="s">
        <v>5909</v>
      </c>
      <c r="C2468" s="5" t="s">
        <v>89</v>
      </c>
      <c r="D2468" s="5" t="s">
        <v>90</v>
      </c>
      <c r="E2468" s="5" t="s">
        <v>51</v>
      </c>
      <c r="F2468" s="9">
        <v>62</v>
      </c>
      <c r="G2468" s="9">
        <v>734</v>
      </c>
      <c r="H2468" s="5" t="s">
        <v>20</v>
      </c>
      <c r="I2468" s="5" t="s">
        <v>5911</v>
      </c>
      <c r="J2468" s="12" t="str">
        <f>HYPERLINK("https://www.boe.es/gazeta/dias/1807/07/17/pdfs/GMD-1807-62.pdf#page=8","Abrir facsímil")</f>
        <v>Abrir facsímil</v>
      </c>
      <c r="K2468" s="15" t="s">
        <v>22</v>
      </c>
    </row>
    <row r="2469" spans="1:11" ht="42" customHeight="1">
      <c r="A2469" s="4" t="s">
        <v>5909</v>
      </c>
      <c r="B2469" s="5" t="s">
        <v>5909</v>
      </c>
      <c r="C2469" s="5" t="s">
        <v>89</v>
      </c>
      <c r="D2469" s="5" t="s">
        <v>90</v>
      </c>
      <c r="E2469" s="5" t="s">
        <v>53</v>
      </c>
      <c r="F2469" s="9">
        <v>64</v>
      </c>
      <c r="G2469" s="9">
        <v>739</v>
      </c>
      <c r="H2469" s="5" t="s">
        <v>20</v>
      </c>
      <c r="I2469" s="5" t="s">
        <v>5912</v>
      </c>
      <c r="J2469" s="12" t="str">
        <f>HYPERLINK("https://www.boe.es/gazeta/dias/1807/07/21/pdfs/GMD-1807-64.pdf#page=1","Abrir facsímil")</f>
        <v>Abrir facsímil</v>
      </c>
      <c r="K2469" s="15" t="s">
        <v>22</v>
      </c>
    </row>
    <row r="2470" spans="1:11" ht="42" customHeight="1">
      <c r="A2470" s="4" t="s">
        <v>5913</v>
      </c>
      <c r="B2470" s="5" t="s">
        <v>5914</v>
      </c>
      <c r="C2470" s="5" t="s">
        <v>24</v>
      </c>
      <c r="D2470" s="5" t="s">
        <v>18</v>
      </c>
      <c r="E2470" s="5" t="s">
        <v>447</v>
      </c>
      <c r="F2470" s="9">
        <v>65</v>
      </c>
      <c r="G2470" s="9">
        <v>760</v>
      </c>
      <c r="H2470" s="5" t="s">
        <v>20</v>
      </c>
      <c r="I2470" s="5" t="s">
        <v>5915</v>
      </c>
      <c r="J2470" s="12" t="str">
        <f>HYPERLINK("https://www.boe.es/gazeta/dias/1807/07/24/pdfs/GMD-1807-65.pdf#page=10","Abrir facsímil")</f>
        <v>Abrir facsímil</v>
      </c>
      <c r="K2470" s="15" t="s">
        <v>22</v>
      </c>
    </row>
    <row r="2471" spans="1:11" ht="42" customHeight="1">
      <c r="A2471" s="4" t="s">
        <v>5916</v>
      </c>
      <c r="B2471" s="5" t="s">
        <v>5916</v>
      </c>
      <c r="C2471" s="5" t="s">
        <v>34</v>
      </c>
      <c r="D2471" s="5" t="s">
        <v>35</v>
      </c>
      <c r="E2471" s="5" t="s">
        <v>19</v>
      </c>
      <c r="F2471" s="9">
        <v>41</v>
      </c>
      <c r="G2471" s="9">
        <v>489</v>
      </c>
      <c r="H2471" s="5" t="s">
        <v>20</v>
      </c>
      <c r="I2471" s="5" t="s">
        <v>5917</v>
      </c>
      <c r="J2471" s="12" t="str">
        <f>HYPERLINK("https://www.boe.es/gazeta/dias/1807/05/12/pdfs/GMD-1807-41.pdf#page=7","Abrir facsímil")</f>
        <v>Abrir facsímil</v>
      </c>
      <c r="K2471" s="15" t="s">
        <v>22</v>
      </c>
    </row>
    <row r="2472" spans="1:11" ht="42" customHeight="1">
      <c r="A2472" s="4" t="s">
        <v>5918</v>
      </c>
      <c r="B2472" s="5" t="s">
        <v>5918</v>
      </c>
      <c r="C2472" s="5" t="s">
        <v>34</v>
      </c>
      <c r="D2472" s="5" t="s">
        <v>35</v>
      </c>
      <c r="E2472" s="5" t="s">
        <v>259</v>
      </c>
      <c r="F2472" s="9">
        <v>3</v>
      </c>
      <c r="G2472" s="9">
        <v>27</v>
      </c>
      <c r="H2472" s="5" t="s">
        <v>20</v>
      </c>
      <c r="I2472" s="5" t="s">
        <v>5919</v>
      </c>
      <c r="J2472" s="12" t="str">
        <f>HYPERLINK("https://www.boe.es/gazeta/dias/1807/01/09/pdfs/GMD-1807-3.pdf#page=7","Abrir facsímil")</f>
        <v>Abrir facsímil</v>
      </c>
      <c r="K2472" s="15" t="s">
        <v>22</v>
      </c>
    </row>
    <row r="2473" spans="1:11" ht="42" customHeight="1">
      <c r="A2473" s="4" t="s">
        <v>5920</v>
      </c>
      <c r="B2473" s="5" t="s">
        <v>5920</v>
      </c>
      <c r="C2473" s="5" t="s">
        <v>34</v>
      </c>
      <c r="D2473" s="5" t="s">
        <v>35</v>
      </c>
      <c r="E2473" s="5" t="s">
        <v>62</v>
      </c>
      <c r="F2473" s="9">
        <v>68</v>
      </c>
      <c r="G2473" s="9">
        <v>783</v>
      </c>
      <c r="H2473" s="5" t="s">
        <v>20</v>
      </c>
      <c r="I2473" s="5" t="s">
        <v>5921</v>
      </c>
      <c r="J2473" s="12" t="str">
        <f>HYPERLINK("https://www.boe.es/gazeta/dias/1807/07/31/pdfs/GMD-1807-68.pdf#page=7","Abrir facsímil")</f>
        <v>Abrir facsímil</v>
      </c>
      <c r="K2473" s="15" t="s">
        <v>22</v>
      </c>
    </row>
    <row r="2474" spans="1:11" ht="42" customHeight="1">
      <c r="A2474" s="4" t="s">
        <v>5922</v>
      </c>
      <c r="B2474" s="5" t="s">
        <v>5922</v>
      </c>
      <c r="C2474" s="5" t="s">
        <v>34</v>
      </c>
      <c r="D2474" s="5" t="s">
        <v>35</v>
      </c>
      <c r="E2474" s="5" t="s">
        <v>30</v>
      </c>
      <c r="F2474" s="9">
        <v>13</v>
      </c>
      <c r="G2474" s="9">
        <v>149</v>
      </c>
      <c r="H2474" s="5" t="s">
        <v>20</v>
      </c>
      <c r="I2474" s="5" t="s">
        <v>5923</v>
      </c>
      <c r="J2474" s="12" t="str">
        <f>HYPERLINK("https://www.boe.es/gazeta/dias/1807/02/06/pdfs/GMD-1807-13.pdf#page=9","Abrir facsímil")</f>
        <v>Abrir facsímil</v>
      </c>
      <c r="K2474" s="15" t="s">
        <v>22</v>
      </c>
    </row>
    <row r="2475" spans="1:11" ht="42" customHeight="1">
      <c r="A2475" s="4" t="s">
        <v>5924</v>
      </c>
      <c r="B2475" s="5" t="s">
        <v>5924</v>
      </c>
      <c r="C2475" s="5" t="s">
        <v>17</v>
      </c>
      <c r="D2475" s="5" t="s">
        <v>18</v>
      </c>
      <c r="E2475" s="5" t="s">
        <v>1076</v>
      </c>
      <c r="F2475" s="9">
        <v>96</v>
      </c>
      <c r="G2475" s="9">
        <v>1119</v>
      </c>
      <c r="H2475" s="5" t="s">
        <v>20</v>
      </c>
      <c r="I2475" s="5" t="s">
        <v>5925</v>
      </c>
      <c r="J2475" s="12" t="str">
        <f>HYPERLINK("https://www.boe.es/gazeta/dias/1807/10/27/pdfs/GMD-1807-96.pdf#page=11","Abrir facsímil")</f>
        <v>Abrir facsímil</v>
      </c>
      <c r="K2475" s="15" t="s">
        <v>22</v>
      </c>
    </row>
    <row r="2476" spans="1:11" ht="42" customHeight="1">
      <c r="A2476" s="4" t="s">
        <v>5926</v>
      </c>
      <c r="B2476" s="5" t="s">
        <v>5926</v>
      </c>
      <c r="C2476" s="5" t="s">
        <v>34</v>
      </c>
      <c r="D2476" s="5" t="s">
        <v>35</v>
      </c>
      <c r="E2476" s="5" t="s">
        <v>36</v>
      </c>
      <c r="F2476" s="9">
        <v>36</v>
      </c>
      <c r="G2476" s="9">
        <v>430</v>
      </c>
      <c r="H2476" s="5" t="s">
        <v>20</v>
      </c>
      <c r="I2476" s="5" t="s">
        <v>5927</v>
      </c>
      <c r="J2476" s="12" t="str">
        <f>HYPERLINK("https://www.boe.es/gazeta/dias/1807/04/24/pdfs/GMD-1807-36.pdf#page=10","Abrir facsímil")</f>
        <v>Abrir facsímil</v>
      </c>
      <c r="K2476" s="15" t="s">
        <v>22</v>
      </c>
    </row>
    <row r="2477" spans="1:11" ht="42" customHeight="1">
      <c r="A2477" s="4" t="s">
        <v>5928</v>
      </c>
      <c r="B2477" s="5" t="s">
        <v>5928</v>
      </c>
      <c r="C2477" s="5" t="s">
        <v>89</v>
      </c>
      <c r="D2477" s="5" t="s">
        <v>90</v>
      </c>
      <c r="E2477" s="5" t="s">
        <v>208</v>
      </c>
      <c r="F2477" s="9">
        <v>42</v>
      </c>
      <c r="G2477" s="9">
        <v>506</v>
      </c>
      <c r="H2477" s="5" t="s">
        <v>20</v>
      </c>
      <c r="I2477" s="5" t="s">
        <v>5929</v>
      </c>
      <c r="J2477" s="12" t="str">
        <f>HYPERLINK("https://www.boe.es/gazeta/dias/1807/05/15/pdfs/GMD-1807-42.pdf#page=12","Abrir facsímil")</f>
        <v>Abrir facsímil</v>
      </c>
      <c r="K2477" s="15" t="s">
        <v>22</v>
      </c>
    </row>
    <row r="2478" spans="1:11" ht="42" customHeight="1">
      <c r="A2478" s="4" t="s">
        <v>5930</v>
      </c>
      <c r="B2478" s="5" t="s">
        <v>5930</v>
      </c>
      <c r="C2478" s="5" t="s">
        <v>28</v>
      </c>
      <c r="D2478" s="5" t="s">
        <v>29</v>
      </c>
      <c r="E2478" s="5" t="s">
        <v>215</v>
      </c>
      <c r="F2478" s="9">
        <v>5</v>
      </c>
      <c r="G2478" s="9">
        <v>55</v>
      </c>
      <c r="H2478" s="5" t="s">
        <v>20</v>
      </c>
      <c r="I2478" s="5" t="s">
        <v>5931</v>
      </c>
      <c r="J2478" s="12" t="str">
        <f>HYPERLINK("https://www.boe.es/gazeta/dias/1807/01/16/pdfs/GMD-1807-5.pdf#page=11","Abrir facsímil")</f>
        <v>Abrir facsímil</v>
      </c>
      <c r="K2478" s="15" t="s">
        <v>22</v>
      </c>
    </row>
    <row r="2479" spans="1:11" ht="42" customHeight="1">
      <c r="A2479" s="4" t="s">
        <v>5930</v>
      </c>
      <c r="B2479" s="5" t="s">
        <v>5930</v>
      </c>
      <c r="C2479" s="5" t="s">
        <v>28</v>
      </c>
      <c r="D2479" s="5" t="s">
        <v>29</v>
      </c>
      <c r="E2479" s="5" t="s">
        <v>76</v>
      </c>
      <c r="F2479" s="9">
        <v>7</v>
      </c>
      <c r="G2479" s="9">
        <v>75</v>
      </c>
      <c r="H2479" s="5" t="s">
        <v>20</v>
      </c>
      <c r="I2479" s="5" t="s">
        <v>5932</v>
      </c>
      <c r="J2479" s="12" t="str">
        <f>HYPERLINK("https://www.boe.es/gazeta/dias/1807/01/20/pdfs/GMD-1807-7.pdf#page=7","Abrir facsímil")</f>
        <v>Abrir facsímil</v>
      </c>
      <c r="K2479" s="15" t="s">
        <v>22</v>
      </c>
    </row>
    <row r="2480" spans="1:11" ht="42" customHeight="1">
      <c r="A2480" s="4" t="s">
        <v>5930</v>
      </c>
      <c r="B2480" s="5" t="s">
        <v>5930</v>
      </c>
      <c r="C2480" s="5" t="s">
        <v>34</v>
      </c>
      <c r="D2480" s="5" t="s">
        <v>35</v>
      </c>
      <c r="E2480" s="5" t="s">
        <v>94</v>
      </c>
      <c r="F2480" s="9">
        <v>22</v>
      </c>
      <c r="G2480" s="9">
        <v>254</v>
      </c>
      <c r="H2480" s="5" t="s">
        <v>20</v>
      </c>
      <c r="I2480" s="5" t="s">
        <v>5933</v>
      </c>
      <c r="J2480" s="12" t="str">
        <f>HYPERLINK("https://www.boe.es/gazeta/dias/1807/03/06/pdfs/GMD-1807-22.pdf#page=6","Abrir facsímil")</f>
        <v>Abrir facsímil</v>
      </c>
      <c r="K2480" s="15" t="s">
        <v>22</v>
      </c>
    </row>
    <row r="2481" spans="1:11" ht="42" customHeight="1">
      <c r="A2481" s="4" t="s">
        <v>5930</v>
      </c>
      <c r="B2481" s="5" t="s">
        <v>5930</v>
      </c>
      <c r="C2481" s="5" t="s">
        <v>28</v>
      </c>
      <c r="D2481" s="5" t="s">
        <v>29</v>
      </c>
      <c r="E2481" s="5" t="s">
        <v>65</v>
      </c>
      <c r="F2481" s="9">
        <v>52</v>
      </c>
      <c r="G2481" s="9">
        <v>621</v>
      </c>
      <c r="H2481" s="5" t="s">
        <v>20</v>
      </c>
      <c r="I2481" s="5" t="s">
        <v>5934</v>
      </c>
      <c r="J2481" s="12" t="str">
        <f>HYPERLINK("https://www.boe.es/gazeta/dias/1807/06/19/pdfs/GMD-1807-52.pdf#page=11","Abrir facsímil")</f>
        <v>Abrir facsímil</v>
      </c>
      <c r="K2481" s="15" t="s">
        <v>22</v>
      </c>
    </row>
    <row r="2482" spans="1:11" ht="42" customHeight="1">
      <c r="A2482" s="4" t="s">
        <v>5930</v>
      </c>
      <c r="B2482" s="5" t="s">
        <v>5930</v>
      </c>
      <c r="C2482" s="5" t="s">
        <v>34</v>
      </c>
      <c r="D2482" s="5" t="s">
        <v>35</v>
      </c>
      <c r="E2482" s="5" t="s">
        <v>152</v>
      </c>
      <c r="F2482" s="9">
        <v>61</v>
      </c>
      <c r="G2482" s="9">
        <v>720</v>
      </c>
      <c r="H2482" s="5" t="s">
        <v>20</v>
      </c>
      <c r="I2482" s="5" t="s">
        <v>5935</v>
      </c>
      <c r="J2482" s="12" t="str">
        <f>HYPERLINK("https://www.boe.es/gazeta/dias/1807/07/14/pdfs/GMD-1807-61.pdf#page=6","Abrir facsímil")</f>
        <v>Abrir facsímil</v>
      </c>
      <c r="K2482" s="15" t="s">
        <v>22</v>
      </c>
    </row>
    <row r="2483" spans="1:11" ht="42" customHeight="1">
      <c r="A2483" s="4" t="s">
        <v>5930</v>
      </c>
      <c r="B2483" s="5" t="s">
        <v>5930</v>
      </c>
      <c r="C2483" s="5" t="s">
        <v>24</v>
      </c>
      <c r="D2483" s="5" t="s">
        <v>18</v>
      </c>
      <c r="E2483" s="5" t="s">
        <v>447</v>
      </c>
      <c r="F2483" s="9">
        <v>65</v>
      </c>
      <c r="G2483" s="9">
        <v>760</v>
      </c>
      <c r="H2483" s="5" t="s">
        <v>20</v>
      </c>
      <c r="I2483" s="5" t="s">
        <v>5936</v>
      </c>
      <c r="J2483" s="12" t="str">
        <f>HYPERLINK("https://www.boe.es/gazeta/dias/1807/07/24/pdfs/GMD-1807-65.pdf#page=10","Abrir facsímil")</f>
        <v>Abrir facsímil</v>
      </c>
      <c r="K2483" s="15" t="s">
        <v>22</v>
      </c>
    </row>
    <row r="2484" spans="1:11" ht="42" customHeight="1">
      <c r="A2484" s="4" t="s">
        <v>5930</v>
      </c>
      <c r="B2484" s="5" t="s">
        <v>5930</v>
      </c>
      <c r="C2484" s="5" t="s">
        <v>28</v>
      </c>
      <c r="D2484" s="5" t="s">
        <v>29</v>
      </c>
      <c r="E2484" s="5" t="s">
        <v>245</v>
      </c>
      <c r="F2484" s="9">
        <v>97</v>
      </c>
      <c r="G2484" s="9">
        <v>1127</v>
      </c>
      <c r="H2484" s="5" t="s">
        <v>20</v>
      </c>
      <c r="I2484" s="5" t="s">
        <v>5937</v>
      </c>
      <c r="J2484" s="12" t="str">
        <f>HYPERLINK("https://www.boe.es/gazeta/dias/1807/10/30/pdfs/GMD-1807-97.pdf#page=7","Abrir facsímil")</f>
        <v>Abrir facsímil</v>
      </c>
      <c r="K2484" s="15" t="s">
        <v>22</v>
      </c>
    </row>
    <row r="2485" spans="1:11" ht="42" customHeight="1">
      <c r="A2485" s="4" t="s">
        <v>5938</v>
      </c>
      <c r="B2485" s="5" t="s">
        <v>5939</v>
      </c>
      <c r="C2485" s="5" t="s">
        <v>28</v>
      </c>
      <c r="D2485" s="5" t="s">
        <v>29</v>
      </c>
      <c r="E2485" s="5" t="s">
        <v>390</v>
      </c>
      <c r="F2485" s="9">
        <v>24</v>
      </c>
      <c r="G2485" s="9">
        <v>291</v>
      </c>
      <c r="H2485" s="5" t="s">
        <v>20</v>
      </c>
      <c r="I2485" s="5" t="s">
        <v>5940</v>
      </c>
      <c r="J2485" s="12" t="str">
        <f>HYPERLINK("https://www.boe.es/gazeta/dias/1807/03/13/pdfs/GMD-1807-24.pdf#page=15","Abrir facsímil")</f>
        <v>Abrir facsímil</v>
      </c>
      <c r="K2485" s="15" t="s">
        <v>22</v>
      </c>
    </row>
    <row r="2486" spans="1:11" ht="42" customHeight="1">
      <c r="A2486" s="4" t="s">
        <v>5941</v>
      </c>
      <c r="B2486" s="5" t="s">
        <v>5942</v>
      </c>
      <c r="C2486" s="5" t="s">
        <v>28</v>
      </c>
      <c r="D2486" s="5" t="s">
        <v>29</v>
      </c>
      <c r="E2486" s="5" t="s">
        <v>390</v>
      </c>
      <c r="F2486" s="9">
        <v>24</v>
      </c>
      <c r="G2486" s="9">
        <v>291</v>
      </c>
      <c r="H2486" s="5" t="s">
        <v>20</v>
      </c>
      <c r="I2486" s="5" t="s">
        <v>5943</v>
      </c>
      <c r="J2486" s="12" t="str">
        <f>HYPERLINK("https://www.boe.es/gazeta/dias/1807/03/13/pdfs/GMD-1807-24.pdf#page=15","Abrir facsímil")</f>
        <v>Abrir facsímil</v>
      </c>
      <c r="K2486" s="15" t="s">
        <v>22</v>
      </c>
    </row>
    <row r="2487" spans="1:11" ht="42" customHeight="1">
      <c r="A2487" s="4" t="s">
        <v>5944</v>
      </c>
      <c r="B2487" s="5" t="s">
        <v>5944</v>
      </c>
      <c r="C2487" s="5" t="s">
        <v>17</v>
      </c>
      <c r="D2487" s="5" t="s">
        <v>18</v>
      </c>
      <c r="E2487" s="5" t="s">
        <v>190</v>
      </c>
      <c r="F2487" s="9">
        <v>37</v>
      </c>
      <c r="G2487" s="9">
        <v>440</v>
      </c>
      <c r="H2487" s="5" t="s">
        <v>20</v>
      </c>
      <c r="I2487" s="5" t="s">
        <v>5945</v>
      </c>
      <c r="J2487" s="12" t="str">
        <f>HYPERLINK("https://www.boe.es/gazeta/dias/1807/04/28/pdfs/GMD-1807-37.pdf#page=8","Abrir facsímil")</f>
        <v>Abrir facsímil</v>
      </c>
      <c r="K2487" s="15" t="s">
        <v>22</v>
      </c>
    </row>
    <row r="2488" spans="1:11" ht="42" customHeight="1">
      <c r="A2488" s="4" t="s">
        <v>5946</v>
      </c>
      <c r="B2488" s="5" t="s">
        <v>5946</v>
      </c>
      <c r="C2488" s="5" t="s">
        <v>89</v>
      </c>
      <c r="D2488" s="5" t="s">
        <v>90</v>
      </c>
      <c r="E2488" s="5" t="s">
        <v>507</v>
      </c>
      <c r="F2488" s="9">
        <v>48</v>
      </c>
      <c r="G2488" s="9">
        <v>573</v>
      </c>
      <c r="H2488" s="5" t="s">
        <v>20</v>
      </c>
      <c r="I2488" s="5" t="s">
        <v>5947</v>
      </c>
      <c r="J2488" s="12" t="str">
        <f>HYPERLINK("https://www.boe.es/gazeta/dias/1807/06/05/pdfs/GMD-1807-48.pdf#page=11","Abrir facsímil")</f>
        <v>Abrir facsímil</v>
      </c>
      <c r="K2488" s="15" t="s">
        <v>22</v>
      </c>
    </row>
    <row r="2489" spans="1:11" ht="42" customHeight="1">
      <c r="A2489" s="4" t="s">
        <v>5948</v>
      </c>
      <c r="B2489" s="5" t="s">
        <v>5948</v>
      </c>
      <c r="C2489" s="5" t="s">
        <v>34</v>
      </c>
      <c r="D2489" s="5" t="s">
        <v>35</v>
      </c>
      <c r="E2489" s="5" t="s">
        <v>478</v>
      </c>
      <c r="F2489" s="9">
        <v>30</v>
      </c>
      <c r="G2489" s="9">
        <v>357</v>
      </c>
      <c r="H2489" s="5" t="s">
        <v>20</v>
      </c>
      <c r="I2489" s="5" t="s">
        <v>5949</v>
      </c>
      <c r="J2489" s="12" t="str">
        <f>HYPERLINK("https://www.boe.es/gazeta/dias/1807/04/03/pdfs/GMD-1807-30.pdf#page=9","Abrir facsímil")</f>
        <v>Abrir facsímil</v>
      </c>
      <c r="K2489" s="15" t="s">
        <v>22</v>
      </c>
    </row>
    <row r="2490" spans="1:11" ht="42" customHeight="1">
      <c r="A2490" s="4" t="s">
        <v>5950</v>
      </c>
      <c r="B2490" s="5" t="s">
        <v>5950</v>
      </c>
      <c r="C2490" s="5" t="s">
        <v>17</v>
      </c>
      <c r="D2490" s="5" t="s">
        <v>18</v>
      </c>
      <c r="E2490" s="5" t="s">
        <v>309</v>
      </c>
      <c r="F2490" s="9">
        <v>107</v>
      </c>
      <c r="G2490" s="9">
        <v>1247</v>
      </c>
      <c r="H2490" s="5" t="s">
        <v>20</v>
      </c>
      <c r="I2490" s="5" t="s">
        <v>5951</v>
      </c>
      <c r="J2490" s="12" t="str">
        <f>HYPERLINK("https://www.boe.es/gazeta/dias/1807/12/01/pdfs/GMD-1807-107.pdf#page=7","Abrir facsímil")</f>
        <v>Abrir facsímil</v>
      </c>
      <c r="K2490" s="15" t="s">
        <v>22</v>
      </c>
    </row>
    <row r="2491" spans="1:11" ht="42" customHeight="1">
      <c r="A2491" s="4" t="s">
        <v>5952</v>
      </c>
      <c r="B2491" s="5" t="s">
        <v>5952</v>
      </c>
      <c r="C2491" s="5" t="s">
        <v>252</v>
      </c>
      <c r="D2491" s="5" t="s">
        <v>253</v>
      </c>
      <c r="E2491" s="5" t="s">
        <v>314</v>
      </c>
      <c r="F2491" s="9" t="s">
        <v>315</v>
      </c>
      <c r="G2491" s="9">
        <v>1221</v>
      </c>
      <c r="H2491" s="5" t="s">
        <v>20</v>
      </c>
      <c r="I2491" s="5" t="s">
        <v>5953</v>
      </c>
      <c r="J2491" s="12" t="str">
        <f>HYPERLINK("https://www.boe.es/gazeta/dias/1807/11/26/pdfs/GMD-1807-105E.pdf#page=5","Abrir facsímil")</f>
        <v>Abrir facsímil</v>
      </c>
      <c r="K2491" s="15" t="s">
        <v>22</v>
      </c>
    </row>
    <row r="2492" spans="1:11" ht="42" customHeight="1">
      <c r="A2492" s="4" t="s">
        <v>5954</v>
      </c>
      <c r="B2492" s="5" t="s">
        <v>5955</v>
      </c>
      <c r="C2492" s="5" t="s">
        <v>17</v>
      </c>
      <c r="D2492" s="5" t="s">
        <v>18</v>
      </c>
      <c r="E2492" s="5" t="s">
        <v>754</v>
      </c>
      <c r="F2492" s="9">
        <v>103</v>
      </c>
      <c r="G2492" s="9">
        <v>1201</v>
      </c>
      <c r="H2492" s="5" t="s">
        <v>20</v>
      </c>
      <c r="I2492" s="5" t="s">
        <v>5956</v>
      </c>
      <c r="J2492" s="12" t="str">
        <f>HYPERLINK("https://www.boe.es/gazeta/dias/1807/11/20/pdfs/GMD-1807-103.pdf#page=9","Abrir facsímil")</f>
        <v>Abrir facsímil</v>
      </c>
      <c r="K2492" s="15" t="s">
        <v>22</v>
      </c>
    </row>
    <row r="2493" spans="1:11" ht="42" customHeight="1">
      <c r="A2493" s="4" t="s">
        <v>5957</v>
      </c>
      <c r="B2493" s="5" t="s">
        <v>5957</v>
      </c>
      <c r="C2493" s="5" t="s">
        <v>28</v>
      </c>
      <c r="D2493" s="5" t="s">
        <v>29</v>
      </c>
      <c r="E2493" s="5" t="s">
        <v>418</v>
      </c>
      <c r="F2493" s="9">
        <v>4</v>
      </c>
      <c r="G2493" s="9">
        <v>38</v>
      </c>
      <c r="H2493" s="5" t="s">
        <v>20</v>
      </c>
      <c r="I2493" s="5" t="s">
        <v>5958</v>
      </c>
      <c r="J2493" s="12" t="str">
        <f>HYPERLINK("https://www.boe.es/gazeta/dias/1807/01/13/pdfs/GMD-1807-4.pdf#page=6","Abrir facsímil")</f>
        <v>Abrir facsímil</v>
      </c>
      <c r="K2493" s="15" t="s">
        <v>22</v>
      </c>
    </row>
    <row r="2494" spans="1:11" ht="42" customHeight="1">
      <c r="A2494" s="4" t="s">
        <v>5959</v>
      </c>
      <c r="B2494" s="5" t="s">
        <v>5959</v>
      </c>
      <c r="C2494" s="5" t="s">
        <v>17</v>
      </c>
      <c r="D2494" s="5" t="s">
        <v>18</v>
      </c>
      <c r="E2494" s="5" t="s">
        <v>327</v>
      </c>
      <c r="F2494" s="9">
        <v>108</v>
      </c>
      <c r="G2494" s="9">
        <v>1261</v>
      </c>
      <c r="H2494" s="5" t="s">
        <v>20</v>
      </c>
      <c r="I2494" s="5" t="s">
        <v>5960</v>
      </c>
      <c r="J2494" s="12" t="str">
        <f>HYPERLINK("https://www.boe.es/gazeta/dias/1807/12/04/pdfs/GMD-1807-108.pdf#page=9","Abrir facsímil")</f>
        <v>Abrir facsímil</v>
      </c>
      <c r="K2494" s="15" t="s">
        <v>22</v>
      </c>
    </row>
    <row r="2495" spans="1:11" ht="42" customHeight="1">
      <c r="A2495" s="4" t="s">
        <v>5961</v>
      </c>
      <c r="B2495" s="5" t="s">
        <v>5961</v>
      </c>
      <c r="C2495" s="5" t="s">
        <v>17</v>
      </c>
      <c r="D2495" s="5" t="s">
        <v>18</v>
      </c>
      <c r="E2495" s="5" t="s">
        <v>507</v>
      </c>
      <c r="F2495" s="9">
        <v>48</v>
      </c>
      <c r="G2495" s="9">
        <v>570</v>
      </c>
      <c r="H2495" s="5" t="s">
        <v>20</v>
      </c>
      <c r="I2495" s="5" t="s">
        <v>5962</v>
      </c>
      <c r="J2495" s="12" t="str">
        <f>HYPERLINK("https://www.boe.es/gazeta/dias/1807/06/05/pdfs/GMD-1807-48.pdf#page=8","Abrir facsímil")</f>
        <v>Abrir facsímil</v>
      </c>
      <c r="K2495" s="15" t="s">
        <v>22</v>
      </c>
    </row>
    <row r="2496" spans="1:11" ht="42" customHeight="1">
      <c r="A2496" s="4" t="s">
        <v>5963</v>
      </c>
      <c r="B2496" s="5" t="s">
        <v>5963</v>
      </c>
      <c r="C2496" s="5" t="s">
        <v>89</v>
      </c>
      <c r="D2496" s="5" t="s">
        <v>90</v>
      </c>
      <c r="E2496" s="5" t="s">
        <v>123</v>
      </c>
      <c r="F2496" s="9">
        <v>70</v>
      </c>
      <c r="G2496" s="9">
        <v>807</v>
      </c>
      <c r="H2496" s="5" t="s">
        <v>20</v>
      </c>
      <c r="I2496" s="5" t="s">
        <v>5964</v>
      </c>
      <c r="J2496" s="12" t="str">
        <f>HYPERLINK("https://www.boe.es/gazeta/dias/1807/08/04/pdfs/GMD-1807-70.pdf#page=11","Abrir facsímil")</f>
        <v>Abrir facsímil</v>
      </c>
      <c r="K2496" s="15" t="s">
        <v>22</v>
      </c>
    </row>
    <row r="2497" spans="1:11" ht="42" customHeight="1">
      <c r="A2497" s="4" t="s">
        <v>5965</v>
      </c>
      <c r="B2497" s="5" t="s">
        <v>5966</v>
      </c>
      <c r="C2497" s="5" t="s">
        <v>28</v>
      </c>
      <c r="D2497" s="5" t="s">
        <v>29</v>
      </c>
      <c r="E2497" s="5" t="s">
        <v>447</v>
      </c>
      <c r="F2497" s="9">
        <v>65</v>
      </c>
      <c r="G2497" s="9">
        <v>761</v>
      </c>
      <c r="H2497" s="5" t="s">
        <v>20</v>
      </c>
      <c r="I2497" s="5" t="s">
        <v>5967</v>
      </c>
      <c r="J2497" s="12" t="str">
        <f>HYPERLINK("https://www.boe.es/gazeta/dias/1807/07/24/pdfs/GMD-1807-65.pdf#page=11","Abrir facsímil")</f>
        <v>Abrir facsímil</v>
      </c>
      <c r="K2497" s="15" t="s">
        <v>22</v>
      </c>
    </row>
    <row r="2498" spans="1:11" ht="42" customHeight="1">
      <c r="A2498" s="4" t="s">
        <v>5968</v>
      </c>
      <c r="B2498" s="5" t="s">
        <v>5968</v>
      </c>
      <c r="C2498" s="5" t="s">
        <v>28</v>
      </c>
      <c r="D2498" s="5" t="s">
        <v>29</v>
      </c>
      <c r="E2498" s="5" t="s">
        <v>101</v>
      </c>
      <c r="F2498" s="9">
        <v>23</v>
      </c>
      <c r="G2498" s="9">
        <v>270</v>
      </c>
      <c r="H2498" s="5" t="s">
        <v>20</v>
      </c>
      <c r="I2498" s="5" t="s">
        <v>5969</v>
      </c>
      <c r="J2498" s="12" t="str">
        <f>HYPERLINK("https://www.boe.es/gazeta/dias/1807/03/10/pdfs/GMD-1807-23.pdf#page=10","Abrir facsímil")</f>
        <v>Abrir facsímil</v>
      </c>
      <c r="K2498" s="15" t="s">
        <v>22</v>
      </c>
    </row>
    <row r="2499" spans="1:11" ht="42" customHeight="1">
      <c r="A2499" s="4" t="s">
        <v>5970</v>
      </c>
      <c r="B2499" s="5" t="s">
        <v>5970</v>
      </c>
      <c r="C2499" s="5" t="s">
        <v>34</v>
      </c>
      <c r="D2499" s="5" t="s">
        <v>35</v>
      </c>
      <c r="E2499" s="5" t="s">
        <v>319</v>
      </c>
      <c r="F2499" s="9">
        <v>54</v>
      </c>
      <c r="G2499" s="9">
        <v>645</v>
      </c>
      <c r="H2499" s="5" t="s">
        <v>20</v>
      </c>
      <c r="I2499" s="5" t="s">
        <v>5971</v>
      </c>
      <c r="J2499" s="12" t="str">
        <f>HYPERLINK("https://www.boe.es/gazeta/dias/1807/06/26/pdfs/GMD-1807-54.pdf#page=7","Abrir facsímil")</f>
        <v>Abrir facsímil</v>
      </c>
      <c r="K2499" s="15" t="s">
        <v>22</v>
      </c>
    </row>
    <row r="2500" spans="1:11" ht="42" customHeight="1">
      <c r="A2500" s="4" t="s">
        <v>5972</v>
      </c>
      <c r="B2500" s="5" t="s">
        <v>5972</v>
      </c>
      <c r="C2500" s="5" t="s">
        <v>17</v>
      </c>
      <c r="D2500" s="5" t="s">
        <v>18</v>
      </c>
      <c r="E2500" s="5" t="s">
        <v>53</v>
      </c>
      <c r="F2500" s="9">
        <v>64</v>
      </c>
      <c r="G2500" s="9">
        <v>746</v>
      </c>
      <c r="H2500" s="5" t="s">
        <v>20</v>
      </c>
      <c r="I2500" s="5" t="s">
        <v>5973</v>
      </c>
      <c r="J2500" s="12" t="str">
        <f>HYPERLINK("https://www.boe.es/gazeta/dias/1807/07/21/pdfs/GMD-1807-64.pdf#page=8","Abrir facsímil")</f>
        <v>Abrir facsímil</v>
      </c>
      <c r="K2500" s="15" t="s">
        <v>22</v>
      </c>
    </row>
    <row r="2501" spans="1:11" ht="42" customHeight="1">
      <c r="A2501" s="4" t="s">
        <v>5974</v>
      </c>
      <c r="B2501" s="5" t="s">
        <v>5974</v>
      </c>
      <c r="C2501" s="5" t="s">
        <v>34</v>
      </c>
      <c r="D2501" s="5" t="s">
        <v>35</v>
      </c>
      <c r="E2501" s="5" t="s">
        <v>245</v>
      </c>
      <c r="F2501" s="9">
        <v>97</v>
      </c>
      <c r="G2501" s="9">
        <v>1127</v>
      </c>
      <c r="H2501" s="5" t="s">
        <v>20</v>
      </c>
      <c r="I2501" s="5" t="s">
        <v>5975</v>
      </c>
      <c r="J2501" s="12" t="str">
        <f>HYPERLINK("https://www.boe.es/gazeta/dias/1807/10/30/pdfs/GMD-1807-97.pdf#page=7","Abrir facsímil")</f>
        <v>Abrir facsímil</v>
      </c>
      <c r="K2501" s="15" t="s">
        <v>22</v>
      </c>
    </row>
    <row r="2502" spans="1:11" ht="42" customHeight="1">
      <c r="A2502" s="4" t="s">
        <v>5976</v>
      </c>
      <c r="B2502" s="5" t="s">
        <v>5976</v>
      </c>
      <c r="C2502" s="5" t="s">
        <v>34</v>
      </c>
      <c r="D2502" s="5" t="s">
        <v>35</v>
      </c>
      <c r="E2502" s="5" t="s">
        <v>86</v>
      </c>
      <c r="F2502" s="9">
        <v>12</v>
      </c>
      <c r="G2502" s="9">
        <v>136</v>
      </c>
      <c r="H2502" s="5" t="s">
        <v>20</v>
      </c>
      <c r="I2502" s="5" t="s">
        <v>5977</v>
      </c>
      <c r="J2502" s="12" t="str">
        <f>HYPERLINK("https://www.boe.es/gazeta/dias/1807/02/03/pdfs/GMD-1807-12.pdf#page=8","Abrir facsímil")</f>
        <v>Abrir facsímil</v>
      </c>
      <c r="K2502" s="15" t="s">
        <v>22</v>
      </c>
    </row>
    <row r="2503" spans="1:11" ht="42" customHeight="1">
      <c r="A2503" s="4" t="s">
        <v>5978</v>
      </c>
      <c r="B2503" s="5" t="s">
        <v>5978</v>
      </c>
      <c r="C2503" s="5" t="s">
        <v>24</v>
      </c>
      <c r="D2503" s="5" t="s">
        <v>18</v>
      </c>
      <c r="E2503" s="5" t="s">
        <v>464</v>
      </c>
      <c r="F2503" s="9">
        <v>18</v>
      </c>
      <c r="G2503" s="9">
        <v>215</v>
      </c>
      <c r="H2503" s="5" t="s">
        <v>20</v>
      </c>
      <c r="I2503" s="5" t="s">
        <v>5979</v>
      </c>
      <c r="J2503" s="12" t="str">
        <f>HYPERLINK("https://www.boe.es/gazeta/dias/1807/02/24/pdfs/GMD-1807-18.pdf#page=15","Abrir facsímil")</f>
        <v>Abrir facsímil</v>
      </c>
      <c r="K2503" s="15" t="s">
        <v>22</v>
      </c>
    </row>
    <row r="2504" spans="1:11" ht="42" customHeight="1">
      <c r="A2504" s="4" t="s">
        <v>5978</v>
      </c>
      <c r="B2504" s="5" t="s">
        <v>5978</v>
      </c>
      <c r="C2504" s="5" t="s">
        <v>17</v>
      </c>
      <c r="D2504" s="5" t="s">
        <v>18</v>
      </c>
      <c r="E2504" s="5" t="s">
        <v>2914</v>
      </c>
      <c r="F2504" s="9">
        <v>29</v>
      </c>
      <c r="G2504" s="9">
        <v>348</v>
      </c>
      <c r="H2504" s="5" t="s">
        <v>20</v>
      </c>
      <c r="I2504" s="5" t="s">
        <v>5980</v>
      </c>
      <c r="J2504" s="12" t="str">
        <f>HYPERLINK("https://www.boe.es/gazeta/dias/1807/03/31/pdfs/GMD-1807-29.pdf#page=12","Abrir facsímil")</f>
        <v>Abrir facsímil</v>
      </c>
      <c r="K2504" s="15" t="s">
        <v>22</v>
      </c>
    </row>
    <row r="2505" spans="1:11" ht="42" customHeight="1">
      <c r="A2505" s="4" t="s">
        <v>5978</v>
      </c>
      <c r="B2505" s="5" t="s">
        <v>5978</v>
      </c>
      <c r="C2505" s="5" t="s">
        <v>24</v>
      </c>
      <c r="D2505" s="5" t="s">
        <v>18</v>
      </c>
      <c r="E2505" s="5" t="s">
        <v>139</v>
      </c>
      <c r="F2505" s="9">
        <v>110</v>
      </c>
      <c r="G2505" s="9">
        <v>1285</v>
      </c>
      <c r="H2505" s="5" t="s">
        <v>20</v>
      </c>
      <c r="I2505" s="5" t="s">
        <v>5981</v>
      </c>
      <c r="J2505" s="12" t="str">
        <f>HYPERLINK("https://www.boe.es/gazeta/dias/1807/12/11/pdfs/GMD-1807-110.pdf#page=9","Abrir facsímil")</f>
        <v>Abrir facsímil</v>
      </c>
      <c r="K2505" s="15" t="s">
        <v>22</v>
      </c>
    </row>
    <row r="2506" spans="1:11" ht="42" customHeight="1">
      <c r="A2506" s="4" t="s">
        <v>5982</v>
      </c>
      <c r="B2506" s="5" t="s">
        <v>5982</v>
      </c>
      <c r="C2506" s="5" t="s">
        <v>24</v>
      </c>
      <c r="D2506" s="5" t="s">
        <v>18</v>
      </c>
      <c r="E2506" s="5" t="s">
        <v>319</v>
      </c>
      <c r="F2506" s="9">
        <v>54</v>
      </c>
      <c r="G2506" s="9">
        <v>648</v>
      </c>
      <c r="H2506" s="5" t="s">
        <v>20</v>
      </c>
      <c r="I2506" s="5" t="s">
        <v>5983</v>
      </c>
      <c r="J2506" s="12" t="str">
        <f>HYPERLINK("https://www.boe.es/gazeta/dias/1807/06/26/pdfs/GMD-1807-54.pdf#page=10","Abrir facsímil")</f>
        <v>Abrir facsímil</v>
      </c>
      <c r="K2506" s="15" t="s">
        <v>22</v>
      </c>
    </row>
    <row r="2507" spans="1:11" ht="42" customHeight="1">
      <c r="A2507" s="4" t="s">
        <v>5984</v>
      </c>
      <c r="B2507" s="5" t="s">
        <v>5984</v>
      </c>
      <c r="C2507" s="5" t="s">
        <v>34</v>
      </c>
      <c r="D2507" s="5" t="s">
        <v>35</v>
      </c>
      <c r="E2507" s="5" t="s">
        <v>309</v>
      </c>
      <c r="F2507" s="9">
        <v>107</v>
      </c>
      <c r="G2507" s="9">
        <v>1247</v>
      </c>
      <c r="H2507" s="5" t="s">
        <v>20</v>
      </c>
      <c r="I2507" s="5" t="s">
        <v>5985</v>
      </c>
      <c r="J2507" s="12" t="str">
        <f>HYPERLINK("https://www.boe.es/gazeta/dias/1807/12/01/pdfs/GMD-1807-107.pdf#page=7","Abrir facsímil")</f>
        <v>Abrir facsímil</v>
      </c>
      <c r="K2507" s="15" t="s">
        <v>22</v>
      </c>
    </row>
    <row r="2508" spans="1:11" ht="42" customHeight="1">
      <c r="A2508" s="4" t="s">
        <v>5986</v>
      </c>
      <c r="B2508" s="5" t="s">
        <v>5986</v>
      </c>
      <c r="C2508" s="5" t="s">
        <v>17</v>
      </c>
      <c r="D2508" s="5" t="s">
        <v>18</v>
      </c>
      <c r="E2508" s="5" t="s">
        <v>109</v>
      </c>
      <c r="F2508" s="9">
        <v>58</v>
      </c>
      <c r="G2508" s="9">
        <v>689</v>
      </c>
      <c r="H2508" s="5" t="s">
        <v>20</v>
      </c>
      <c r="I2508" s="5" t="s">
        <v>5987</v>
      </c>
      <c r="J2508" s="12" t="str">
        <f>HYPERLINK("https://www.boe.es/gazeta/dias/1807/07/07/pdfs/GMD-1807-58.pdf#page=7","Abrir facsímil")</f>
        <v>Abrir facsímil</v>
      </c>
      <c r="K2508" s="15" t="s">
        <v>22</v>
      </c>
    </row>
    <row r="2509" spans="1:11" ht="42" customHeight="1">
      <c r="A2509" s="4" t="s">
        <v>5988</v>
      </c>
      <c r="B2509" s="5" t="s">
        <v>5988</v>
      </c>
      <c r="C2509" s="5" t="s">
        <v>34</v>
      </c>
      <c r="D2509" s="5" t="s">
        <v>35</v>
      </c>
      <c r="E2509" s="5" t="s">
        <v>464</v>
      </c>
      <c r="F2509" s="9">
        <v>18</v>
      </c>
      <c r="G2509" s="9">
        <v>213</v>
      </c>
      <c r="H2509" s="5" t="s">
        <v>20</v>
      </c>
      <c r="I2509" s="5" t="s">
        <v>5989</v>
      </c>
      <c r="J2509" s="12" t="str">
        <f>HYPERLINK("https://www.boe.es/gazeta/dias/1807/02/24/pdfs/GMD-1807-18.pdf#page=13","Abrir facsímil")</f>
        <v>Abrir facsímil</v>
      </c>
      <c r="K2509" s="15" t="s">
        <v>22</v>
      </c>
    </row>
    <row r="2510" spans="1:11" ht="42" customHeight="1">
      <c r="A2510" s="4" t="s">
        <v>5990</v>
      </c>
      <c r="B2510" s="5" t="s">
        <v>5990</v>
      </c>
      <c r="C2510" s="5" t="s">
        <v>17</v>
      </c>
      <c r="D2510" s="5" t="s">
        <v>18</v>
      </c>
      <c r="E2510" s="5" t="s">
        <v>101</v>
      </c>
      <c r="F2510" s="9">
        <v>23</v>
      </c>
      <c r="G2510" s="9">
        <v>273</v>
      </c>
      <c r="H2510" s="5" t="s">
        <v>20</v>
      </c>
      <c r="I2510" s="5" t="s">
        <v>5991</v>
      </c>
      <c r="J2510" s="12" t="str">
        <f>HYPERLINK("https://www.boe.es/gazeta/dias/1807/03/10/pdfs/GMD-1807-23.pdf#page=13","Abrir facsímil")</f>
        <v>Abrir facsímil</v>
      </c>
      <c r="K2510" s="15" t="s">
        <v>22</v>
      </c>
    </row>
    <row r="2511" spans="1:11" ht="42" customHeight="1">
      <c r="A2511" s="4" t="s">
        <v>5992</v>
      </c>
      <c r="B2511" s="5" t="s">
        <v>5992</v>
      </c>
      <c r="C2511" s="5" t="s">
        <v>17</v>
      </c>
      <c r="D2511" s="5" t="s">
        <v>18</v>
      </c>
      <c r="E2511" s="5" t="s">
        <v>98</v>
      </c>
      <c r="F2511" s="9">
        <v>34</v>
      </c>
      <c r="G2511" s="9">
        <v>408</v>
      </c>
      <c r="H2511" s="5" t="s">
        <v>20</v>
      </c>
      <c r="I2511" s="5" t="s">
        <v>5993</v>
      </c>
      <c r="J2511" s="12" t="str">
        <f>HYPERLINK("https://www.boe.es/gazeta/dias/1807/04/17/pdfs/GMD-1807-34.pdf#page=12","Abrir facsímil")</f>
        <v>Abrir facsímil</v>
      </c>
      <c r="K2511" s="15" t="s">
        <v>22</v>
      </c>
    </row>
    <row r="2512" spans="1:11" ht="42" customHeight="1">
      <c r="A2512" s="4" t="s">
        <v>5994</v>
      </c>
      <c r="B2512" s="5" t="s">
        <v>5994</v>
      </c>
      <c r="C2512" s="5" t="s">
        <v>17</v>
      </c>
      <c r="D2512" s="5" t="s">
        <v>18</v>
      </c>
      <c r="E2512" s="5" t="s">
        <v>208</v>
      </c>
      <c r="F2512" s="9">
        <v>42</v>
      </c>
      <c r="G2512" s="9">
        <v>503</v>
      </c>
      <c r="H2512" s="5" t="s">
        <v>20</v>
      </c>
      <c r="I2512" s="5" t="s">
        <v>5995</v>
      </c>
      <c r="J2512" s="12" t="str">
        <f>HYPERLINK("https://www.boe.es/gazeta/dias/1807/05/15/pdfs/GMD-1807-42.pdf#page=9","Abrir facsímil")</f>
        <v>Abrir facsímil</v>
      </c>
      <c r="K2512" s="15" t="s">
        <v>22</v>
      </c>
    </row>
    <row r="2513" spans="1:11" ht="42" customHeight="1">
      <c r="A2513" s="4" t="s">
        <v>5996</v>
      </c>
      <c r="B2513" s="5" t="s">
        <v>5996</v>
      </c>
      <c r="C2513" s="5" t="s">
        <v>34</v>
      </c>
      <c r="D2513" s="5" t="s">
        <v>35</v>
      </c>
      <c r="E2513" s="5" t="s">
        <v>319</v>
      </c>
      <c r="F2513" s="9">
        <v>54</v>
      </c>
      <c r="G2513" s="9">
        <v>648</v>
      </c>
      <c r="H2513" s="5" t="s">
        <v>20</v>
      </c>
      <c r="I2513" s="5" t="s">
        <v>5997</v>
      </c>
      <c r="J2513" s="12" t="str">
        <f>HYPERLINK("https://www.boe.es/gazeta/dias/1807/06/26/pdfs/GMD-1807-54.pdf#page=10","Abrir facsímil")</f>
        <v>Abrir facsímil</v>
      </c>
      <c r="K2513" s="15" t="s">
        <v>22</v>
      </c>
    </row>
    <row r="2514" spans="1:11" ht="42" customHeight="1">
      <c r="A2514" s="4" t="s">
        <v>5998</v>
      </c>
      <c r="B2514" s="5" t="s">
        <v>5998</v>
      </c>
      <c r="C2514" s="5" t="s">
        <v>17</v>
      </c>
      <c r="D2514" s="5" t="s">
        <v>18</v>
      </c>
      <c r="E2514" s="5" t="s">
        <v>654</v>
      </c>
      <c r="F2514" s="9">
        <v>94</v>
      </c>
      <c r="G2514" s="9">
        <v>1093</v>
      </c>
      <c r="H2514" s="5" t="s">
        <v>20</v>
      </c>
      <c r="I2514" s="5" t="s">
        <v>5999</v>
      </c>
      <c r="J2514" s="12" t="str">
        <f>HYPERLINK("https://www.boe.es/gazeta/dias/1807/10/20/pdfs/GMD-1807-94.pdf#page=9","Abrir facsímil")</f>
        <v>Abrir facsímil</v>
      </c>
      <c r="K2514" s="15" t="s">
        <v>22</v>
      </c>
    </row>
    <row r="2515" spans="1:11" ht="42" customHeight="1">
      <c r="A2515" s="4" t="s">
        <v>6000</v>
      </c>
      <c r="B2515" s="5" t="s">
        <v>6000</v>
      </c>
      <c r="C2515" s="5" t="s">
        <v>17</v>
      </c>
      <c r="D2515" s="5" t="s">
        <v>18</v>
      </c>
      <c r="E2515" s="5" t="s">
        <v>190</v>
      </c>
      <c r="F2515" s="9">
        <v>37</v>
      </c>
      <c r="G2515" s="9">
        <v>440</v>
      </c>
      <c r="H2515" s="5" t="s">
        <v>20</v>
      </c>
      <c r="I2515" s="5" t="s">
        <v>6001</v>
      </c>
      <c r="J2515" s="12" t="str">
        <f>HYPERLINK("https://www.boe.es/gazeta/dias/1807/04/28/pdfs/GMD-1807-37.pdf#page=8","Abrir facsímil")</f>
        <v>Abrir facsímil</v>
      </c>
      <c r="K2515" s="15" t="s">
        <v>22</v>
      </c>
    </row>
    <row r="2516" spans="1:11" ht="42" customHeight="1">
      <c r="A2516" s="4" t="s">
        <v>6002</v>
      </c>
      <c r="B2516" s="5" t="s">
        <v>6002</v>
      </c>
      <c r="C2516" s="5" t="s">
        <v>28</v>
      </c>
      <c r="D2516" s="5" t="s">
        <v>29</v>
      </c>
      <c r="E2516" s="5" t="s">
        <v>620</v>
      </c>
      <c r="F2516" s="9">
        <v>84</v>
      </c>
      <c r="G2516" s="9">
        <v>982</v>
      </c>
      <c r="H2516" s="5" t="s">
        <v>20</v>
      </c>
      <c r="I2516" s="5" t="s">
        <v>6003</v>
      </c>
      <c r="J2516" s="12" t="str">
        <f>HYPERLINK("https://www.boe.es/gazeta/dias/1807/09/22/pdfs/GMD-1807-84.pdf#page=10","Abrir facsímil")</f>
        <v>Abrir facsímil</v>
      </c>
      <c r="K2516" s="15" t="s">
        <v>22</v>
      </c>
    </row>
    <row r="2517" spans="1:11" ht="42" customHeight="1">
      <c r="A2517" s="4" t="s">
        <v>6004</v>
      </c>
      <c r="B2517" s="5" t="s">
        <v>6004</v>
      </c>
      <c r="C2517" s="5" t="s">
        <v>34</v>
      </c>
      <c r="D2517" s="5" t="s">
        <v>35</v>
      </c>
      <c r="E2517" s="5" t="s">
        <v>111</v>
      </c>
      <c r="F2517" s="9">
        <v>90</v>
      </c>
      <c r="G2517" s="9">
        <v>1044</v>
      </c>
      <c r="H2517" s="5" t="s">
        <v>20</v>
      </c>
      <c r="I2517" s="5" t="s">
        <v>6005</v>
      </c>
      <c r="J2517" s="12" t="str">
        <f>HYPERLINK("https://www.boe.es/gazeta/dias/1807/10/06/pdfs/GMD-1807-90.pdf#page=12","Abrir facsímil")</f>
        <v>Abrir facsímil</v>
      </c>
      <c r="K2517" s="15" t="s">
        <v>22</v>
      </c>
    </row>
    <row r="2518" spans="1:11" ht="42" customHeight="1">
      <c r="A2518" s="4" t="s">
        <v>6006</v>
      </c>
      <c r="B2518" s="5" t="s">
        <v>6006</v>
      </c>
      <c r="C2518" s="5" t="s">
        <v>34</v>
      </c>
      <c r="D2518" s="5" t="s">
        <v>35</v>
      </c>
      <c r="E2518" s="5" t="s">
        <v>426</v>
      </c>
      <c r="F2518" s="9">
        <v>93</v>
      </c>
      <c r="G2518" s="9">
        <v>1080</v>
      </c>
      <c r="H2518" s="5" t="s">
        <v>20</v>
      </c>
      <c r="I2518" s="5" t="s">
        <v>6007</v>
      </c>
      <c r="J2518" s="12" t="str">
        <f>HYPERLINK("https://www.boe.es/gazeta/dias/1807/10/16/pdfs/GMD-1807-93.pdf#page=8","Abrir facsímil")</f>
        <v>Abrir facsímil</v>
      </c>
      <c r="K2518" s="15" t="s">
        <v>22</v>
      </c>
    </row>
    <row r="2519" spans="1:11" ht="42" customHeight="1">
      <c r="A2519" s="4" t="s">
        <v>6008</v>
      </c>
      <c r="B2519" s="5" t="s">
        <v>6008</v>
      </c>
      <c r="C2519" s="5" t="s">
        <v>34</v>
      </c>
      <c r="D2519" s="5" t="s">
        <v>35</v>
      </c>
      <c r="E2519" s="5" t="s">
        <v>471</v>
      </c>
      <c r="F2519" s="9">
        <v>51</v>
      </c>
      <c r="G2519" s="9">
        <v>606</v>
      </c>
      <c r="H2519" s="5" t="s">
        <v>20</v>
      </c>
      <c r="I2519" s="5" t="s">
        <v>6009</v>
      </c>
      <c r="J2519" s="12" t="str">
        <f>HYPERLINK("https://www.boe.es/gazeta/dias/1807/06/16/pdfs/GMD-1807-51.pdf#page=8","Abrir facsímil")</f>
        <v>Abrir facsímil</v>
      </c>
      <c r="K2519" s="15" t="s">
        <v>22</v>
      </c>
    </row>
    <row r="2520" spans="1:11" ht="42" customHeight="1">
      <c r="A2520" s="4" t="s">
        <v>6010</v>
      </c>
      <c r="B2520" s="5" t="s">
        <v>6010</v>
      </c>
      <c r="C2520" s="5" t="s">
        <v>24</v>
      </c>
      <c r="D2520" s="5" t="s">
        <v>18</v>
      </c>
      <c r="E2520" s="5" t="s">
        <v>208</v>
      </c>
      <c r="F2520" s="9">
        <v>42</v>
      </c>
      <c r="G2520" s="9">
        <v>504</v>
      </c>
      <c r="H2520" s="5" t="s">
        <v>20</v>
      </c>
      <c r="I2520" s="5" t="s">
        <v>6011</v>
      </c>
      <c r="J2520" s="12" t="str">
        <f>HYPERLINK("https://www.boe.es/gazeta/dias/1807/05/15/pdfs/GMD-1807-42.pdf#page=10","Abrir facsímil")</f>
        <v>Abrir facsímil</v>
      </c>
      <c r="K2520" s="15" t="s">
        <v>22</v>
      </c>
    </row>
    <row r="2521" spans="1:11" ht="42" customHeight="1">
      <c r="A2521" s="4" t="s">
        <v>6012</v>
      </c>
      <c r="B2521" s="5" t="s">
        <v>6012</v>
      </c>
      <c r="C2521" s="5" t="s">
        <v>24</v>
      </c>
      <c r="D2521" s="5" t="s">
        <v>18</v>
      </c>
      <c r="E2521" s="5" t="s">
        <v>19</v>
      </c>
      <c r="F2521" s="9">
        <v>41</v>
      </c>
      <c r="G2521" s="9">
        <v>492</v>
      </c>
      <c r="H2521" s="5" t="s">
        <v>20</v>
      </c>
      <c r="I2521" s="5" t="s">
        <v>6013</v>
      </c>
      <c r="J2521" s="12" t="str">
        <f>HYPERLINK("https://www.boe.es/gazeta/dias/1807/05/12/pdfs/GMD-1807-41.pdf#page=10","Abrir facsímil")</f>
        <v>Abrir facsímil</v>
      </c>
      <c r="K2521" s="15" t="s">
        <v>22</v>
      </c>
    </row>
    <row r="2522" spans="1:11" ht="42" customHeight="1">
      <c r="A2522" s="4" t="s">
        <v>6014</v>
      </c>
      <c r="B2522" s="5" t="s">
        <v>6014</v>
      </c>
      <c r="C2522" s="5" t="s">
        <v>24</v>
      </c>
      <c r="D2522" s="5" t="s">
        <v>18</v>
      </c>
      <c r="E2522" s="5" t="s">
        <v>81</v>
      </c>
      <c r="F2522" s="9">
        <v>49</v>
      </c>
      <c r="G2522" s="9">
        <v>586</v>
      </c>
      <c r="H2522" s="5" t="s">
        <v>20</v>
      </c>
      <c r="I2522" s="5" t="s">
        <v>6015</v>
      </c>
      <c r="J2522" s="12" t="str">
        <f>HYPERLINK("https://www.boe.es/gazeta/dias/1807/06/09/pdfs/GMD-1807-49.pdf#page=12","Abrir facsímil")</f>
        <v>Abrir facsímil</v>
      </c>
      <c r="K2522" s="15" t="s">
        <v>22</v>
      </c>
    </row>
    <row r="2523" spans="1:11" ht="42" customHeight="1">
      <c r="A2523" s="4" t="s">
        <v>6016</v>
      </c>
      <c r="B2523" s="5" t="s">
        <v>6017</v>
      </c>
      <c r="C2523" s="5" t="s">
        <v>34</v>
      </c>
      <c r="D2523" s="5" t="s">
        <v>35</v>
      </c>
      <c r="E2523" s="5" t="s">
        <v>221</v>
      </c>
      <c r="F2523" s="9">
        <v>73</v>
      </c>
      <c r="G2523" s="9">
        <v>845</v>
      </c>
      <c r="H2523" s="5" t="s">
        <v>20</v>
      </c>
      <c r="I2523" s="5" t="s">
        <v>6018</v>
      </c>
      <c r="J2523" s="12" t="str">
        <f>HYPERLINK("https://www.boe.es/gazeta/dias/1807/08/14/pdfs/GMD-1807-73.pdf#page=9","Abrir facsímil")</f>
        <v>Abrir facsímil</v>
      </c>
      <c r="K2523" s="15" t="s">
        <v>22</v>
      </c>
    </row>
    <row r="2524" spans="1:11" ht="42" customHeight="1">
      <c r="A2524" s="4" t="s">
        <v>6019</v>
      </c>
      <c r="B2524" s="5" t="s">
        <v>6019</v>
      </c>
      <c r="C2524" s="5" t="s">
        <v>28</v>
      </c>
      <c r="D2524" s="5" t="s">
        <v>29</v>
      </c>
      <c r="E2524" s="5" t="s">
        <v>221</v>
      </c>
      <c r="F2524" s="9">
        <v>73</v>
      </c>
      <c r="G2524" s="9">
        <v>846</v>
      </c>
      <c r="H2524" s="5" t="s">
        <v>20</v>
      </c>
      <c r="I2524" s="5" t="s">
        <v>6020</v>
      </c>
      <c r="J2524" s="12" t="str">
        <f>HYPERLINK("https://www.boe.es/gazeta/dias/1807/08/14/pdfs/GMD-1807-73.pdf#page=10","Abrir facsímil")</f>
        <v>Abrir facsímil</v>
      </c>
      <c r="K2524" s="15" t="s">
        <v>22</v>
      </c>
    </row>
    <row r="2525" spans="1:11" ht="42" customHeight="1">
      <c r="A2525" s="4" t="s">
        <v>6021</v>
      </c>
      <c r="B2525" s="5" t="s">
        <v>6022</v>
      </c>
      <c r="C2525" s="5" t="s">
        <v>34</v>
      </c>
      <c r="D2525" s="5" t="s">
        <v>35</v>
      </c>
      <c r="E2525" s="5" t="s">
        <v>572</v>
      </c>
      <c r="F2525" s="9">
        <v>14</v>
      </c>
      <c r="G2525" s="9">
        <v>163</v>
      </c>
      <c r="H2525" s="5" t="s">
        <v>20</v>
      </c>
      <c r="I2525" s="5" t="s">
        <v>6023</v>
      </c>
      <c r="J2525" s="12" t="str">
        <f>HYPERLINK("https://www.boe.es/gazeta/dias/1807/02/10/pdfs/GMD-1807-14.pdf#page=11","Abrir facsímil")</f>
        <v>Abrir facsímil</v>
      </c>
      <c r="K2525" s="15" t="s">
        <v>22</v>
      </c>
    </row>
    <row r="2526" spans="1:11" ht="42" customHeight="1">
      <c r="A2526" s="4" t="s">
        <v>6024</v>
      </c>
      <c r="B2526" s="5" t="s">
        <v>6024</v>
      </c>
      <c r="C2526" s="5" t="s">
        <v>28</v>
      </c>
      <c r="D2526" s="5" t="s">
        <v>29</v>
      </c>
      <c r="E2526" s="5" t="s">
        <v>42</v>
      </c>
      <c r="F2526" s="9">
        <v>31</v>
      </c>
      <c r="G2526" s="9">
        <v>367</v>
      </c>
      <c r="H2526" s="5" t="s">
        <v>20</v>
      </c>
      <c r="I2526" s="5" t="s">
        <v>6025</v>
      </c>
      <c r="J2526" s="12" t="str">
        <f>HYPERLINK("https://www.boe.es/gazeta/dias/1807/04/07/pdfs/GMD-1807-31.pdf#page=7","Abrir facsímil")</f>
        <v>Abrir facsímil</v>
      </c>
      <c r="K2526" s="15" t="s">
        <v>22</v>
      </c>
    </row>
    <row r="2527" spans="1:11" ht="42" customHeight="1">
      <c r="A2527" s="4" t="s">
        <v>6026</v>
      </c>
      <c r="B2527" s="5" t="s">
        <v>6026</v>
      </c>
      <c r="C2527" s="5" t="s">
        <v>34</v>
      </c>
      <c r="D2527" s="5" t="s">
        <v>35</v>
      </c>
      <c r="E2527" s="5" t="s">
        <v>376</v>
      </c>
      <c r="F2527" s="9">
        <v>19</v>
      </c>
      <c r="G2527" s="9">
        <v>226</v>
      </c>
      <c r="H2527" s="5" t="s">
        <v>20</v>
      </c>
      <c r="I2527" s="5" t="s">
        <v>6027</v>
      </c>
      <c r="J2527" s="12" t="str">
        <f>HYPERLINK("https://www.boe.es/gazeta/dias/1807/02/27/pdfs/GMD-1807-19.pdf#page=10","Abrir facsímil")</f>
        <v>Abrir facsímil</v>
      </c>
      <c r="K2527" s="15" t="s">
        <v>22</v>
      </c>
    </row>
    <row r="2528" spans="1:11" ht="42" customHeight="1">
      <c r="A2528" s="4" t="s">
        <v>6026</v>
      </c>
      <c r="B2528" s="5" t="s">
        <v>6026</v>
      </c>
      <c r="C2528" s="5" t="s">
        <v>34</v>
      </c>
      <c r="D2528" s="5" t="s">
        <v>35</v>
      </c>
      <c r="E2528" s="5" t="s">
        <v>1456</v>
      </c>
      <c r="F2528" s="9">
        <v>98</v>
      </c>
      <c r="G2528" s="9">
        <v>1142</v>
      </c>
      <c r="H2528" s="5" t="s">
        <v>20</v>
      </c>
      <c r="I2528" s="5" t="s">
        <v>6028</v>
      </c>
      <c r="J2528" s="12" t="str">
        <f>HYPERLINK("https://www.boe.es/gazeta/dias/1807/11/03/pdfs/GMD-1807-98.pdf#page=10","Abrir facsímil")</f>
        <v>Abrir facsímil</v>
      </c>
      <c r="K2528" s="15" t="s">
        <v>22</v>
      </c>
    </row>
    <row r="2529" spans="1:11" ht="42" customHeight="1">
      <c r="A2529" s="4" t="s">
        <v>6029</v>
      </c>
      <c r="B2529" s="5" t="s">
        <v>6030</v>
      </c>
      <c r="C2529" s="5" t="s">
        <v>28</v>
      </c>
      <c r="D2529" s="5" t="s">
        <v>29</v>
      </c>
      <c r="E2529" s="5" t="s">
        <v>686</v>
      </c>
      <c r="F2529" s="9">
        <v>106</v>
      </c>
      <c r="G2529" s="9">
        <v>1237</v>
      </c>
      <c r="H2529" s="5" t="s">
        <v>20</v>
      </c>
      <c r="I2529" s="5" t="s">
        <v>6031</v>
      </c>
      <c r="J2529" s="12" t="str">
        <f>HYPERLINK("https://www.boe.es/gazeta/dias/1807/11/27/pdfs/GMD-1807-106.pdf#page=9","Abrir facsímil")</f>
        <v>Abrir facsímil</v>
      </c>
      <c r="K2529" s="15" t="s">
        <v>22</v>
      </c>
    </row>
    <row r="2530" spans="1:11" ht="42" customHeight="1">
      <c r="A2530" s="4" t="s">
        <v>6032</v>
      </c>
      <c r="B2530" s="5" t="s">
        <v>6032</v>
      </c>
      <c r="C2530" s="5" t="s">
        <v>34</v>
      </c>
      <c r="D2530" s="5" t="s">
        <v>35</v>
      </c>
      <c r="E2530" s="5" t="s">
        <v>46</v>
      </c>
      <c r="F2530" s="9">
        <v>78</v>
      </c>
      <c r="G2530" s="9">
        <v>905</v>
      </c>
      <c r="H2530" s="5" t="s">
        <v>20</v>
      </c>
      <c r="I2530" s="5" t="s">
        <v>6033</v>
      </c>
      <c r="J2530" s="12" t="str">
        <f>HYPERLINK("https://www.boe.es/gazeta/dias/1807/09/01/pdfs/GMD-1807-78.pdf#page=9","Abrir facsímil")</f>
        <v>Abrir facsímil</v>
      </c>
      <c r="K2530" s="15" t="s">
        <v>22</v>
      </c>
    </row>
    <row r="2531" spans="1:11" ht="42" customHeight="1">
      <c r="A2531" s="4" t="s">
        <v>6034</v>
      </c>
      <c r="B2531" s="5" t="s">
        <v>6034</v>
      </c>
      <c r="C2531" s="5" t="s">
        <v>28</v>
      </c>
      <c r="D2531" s="5" t="s">
        <v>29</v>
      </c>
      <c r="E2531" s="5" t="s">
        <v>221</v>
      </c>
      <c r="F2531" s="9">
        <v>73</v>
      </c>
      <c r="G2531" s="9">
        <v>844</v>
      </c>
      <c r="H2531" s="5" t="s">
        <v>20</v>
      </c>
      <c r="I2531" s="5" t="s">
        <v>6035</v>
      </c>
      <c r="J2531" s="12" t="str">
        <f>HYPERLINK("https://www.boe.es/gazeta/dias/1807/08/14/pdfs/GMD-1807-73.pdf#page=8","Abrir facsímil")</f>
        <v>Abrir facsímil</v>
      </c>
      <c r="K2531" s="15" t="s">
        <v>22</v>
      </c>
    </row>
    <row r="2532" spans="1:11" ht="42" customHeight="1">
      <c r="A2532" s="4" t="s">
        <v>6036</v>
      </c>
      <c r="B2532" s="5" t="s">
        <v>6036</v>
      </c>
      <c r="C2532" s="5" t="s">
        <v>28</v>
      </c>
      <c r="D2532" s="5" t="s">
        <v>29</v>
      </c>
      <c r="E2532" s="5" t="s">
        <v>266</v>
      </c>
      <c r="F2532" s="9">
        <v>67</v>
      </c>
      <c r="G2532" s="9">
        <v>771</v>
      </c>
      <c r="H2532" s="5" t="s">
        <v>20</v>
      </c>
      <c r="I2532" s="5" t="s">
        <v>6037</v>
      </c>
      <c r="J2532" s="12" t="str">
        <f>HYPERLINK("https://www.boe.es/gazeta/dias/1807/07/28/pdfs/GMD-1807-67.pdf#page=7","Abrir facsímil")</f>
        <v>Abrir facsímil</v>
      </c>
      <c r="K2532" s="15" t="s">
        <v>22</v>
      </c>
    </row>
    <row r="2533" spans="1:11" ht="42" customHeight="1">
      <c r="A2533" s="4" t="s">
        <v>6038</v>
      </c>
      <c r="B2533" s="5" t="s">
        <v>6038</v>
      </c>
      <c r="C2533" s="5" t="s">
        <v>24</v>
      </c>
      <c r="D2533" s="5" t="s">
        <v>18</v>
      </c>
      <c r="E2533" s="5" t="s">
        <v>215</v>
      </c>
      <c r="F2533" s="9">
        <v>5</v>
      </c>
      <c r="G2533" s="9">
        <v>51</v>
      </c>
      <c r="H2533" s="5" t="s">
        <v>20</v>
      </c>
      <c r="I2533" s="5" t="s">
        <v>6039</v>
      </c>
      <c r="J2533" s="12" t="str">
        <f>HYPERLINK("https://www.boe.es/gazeta/dias/1807/01/16/pdfs/GMD-1807-5.pdf#page=7","Abrir facsímil")</f>
        <v>Abrir facsímil</v>
      </c>
      <c r="K2533" s="15" t="s">
        <v>22</v>
      </c>
    </row>
    <row r="2534" spans="1:11" ht="42" customHeight="1">
      <c r="A2534" s="4" t="s">
        <v>6040</v>
      </c>
      <c r="B2534" s="5" t="s">
        <v>6040</v>
      </c>
      <c r="C2534" s="5" t="s">
        <v>34</v>
      </c>
      <c r="D2534" s="5" t="s">
        <v>35</v>
      </c>
      <c r="E2534" s="5" t="s">
        <v>40</v>
      </c>
      <c r="F2534" s="9">
        <v>26</v>
      </c>
      <c r="G2534" s="9">
        <v>312</v>
      </c>
      <c r="H2534" s="5" t="s">
        <v>20</v>
      </c>
      <c r="I2534" s="5" t="s">
        <v>6041</v>
      </c>
      <c r="J2534" s="12" t="str">
        <f>HYPERLINK("https://www.boe.es/gazeta/dias/1807/03/20/pdfs/GMD-1807-26.pdf#page=8","Abrir facsímil")</f>
        <v>Abrir facsímil</v>
      </c>
      <c r="K2534" s="15" t="s">
        <v>22</v>
      </c>
    </row>
    <row r="2535" spans="1:11" ht="42" customHeight="1">
      <c r="A2535" s="4" t="s">
        <v>6042</v>
      </c>
      <c r="B2535" s="5" t="s">
        <v>6042</v>
      </c>
      <c r="C2535" s="5" t="s">
        <v>34</v>
      </c>
      <c r="D2535" s="5" t="s">
        <v>35</v>
      </c>
      <c r="E2535" s="5" t="s">
        <v>620</v>
      </c>
      <c r="F2535" s="9">
        <v>84</v>
      </c>
      <c r="G2535" s="9">
        <v>981</v>
      </c>
      <c r="H2535" s="5" t="s">
        <v>20</v>
      </c>
      <c r="I2535" s="5" t="s">
        <v>6043</v>
      </c>
      <c r="J2535" s="12" t="str">
        <f>HYPERLINK("https://www.boe.es/gazeta/dias/1807/09/22/pdfs/GMD-1807-84.pdf#page=9","Abrir facsímil")</f>
        <v>Abrir facsímil</v>
      </c>
      <c r="K2535" s="15" t="s">
        <v>22</v>
      </c>
    </row>
    <row r="2536" spans="1:11" ht="42" customHeight="1">
      <c r="A2536" s="4" t="s">
        <v>6044</v>
      </c>
      <c r="B2536" s="5" t="s">
        <v>6044</v>
      </c>
      <c r="C2536" s="5" t="s">
        <v>34</v>
      </c>
      <c r="D2536" s="5" t="s">
        <v>35</v>
      </c>
      <c r="E2536" s="5" t="s">
        <v>94</v>
      </c>
      <c r="F2536" s="9">
        <v>22</v>
      </c>
      <c r="G2536" s="9">
        <v>255</v>
      </c>
      <c r="H2536" s="5" t="s">
        <v>20</v>
      </c>
      <c r="I2536" s="5" t="s">
        <v>6045</v>
      </c>
      <c r="J2536" s="12" t="str">
        <f>HYPERLINK("https://www.boe.es/gazeta/dias/1807/03/06/pdfs/GMD-1807-22.pdf#page=7","Abrir facsímil")</f>
        <v>Abrir facsímil</v>
      </c>
      <c r="K2536" s="15" t="s">
        <v>22</v>
      </c>
    </row>
    <row r="2537" spans="1:11" ht="42" customHeight="1">
      <c r="A2537" s="4" t="s">
        <v>6046</v>
      </c>
      <c r="B2537" s="5" t="s">
        <v>6046</v>
      </c>
      <c r="C2537" s="5" t="s">
        <v>34</v>
      </c>
      <c r="D2537" s="5" t="s">
        <v>35</v>
      </c>
      <c r="E2537" s="5" t="s">
        <v>393</v>
      </c>
      <c r="F2537" s="9">
        <v>15</v>
      </c>
      <c r="G2537" s="9">
        <v>172</v>
      </c>
      <c r="H2537" s="5" t="s">
        <v>20</v>
      </c>
      <c r="I2537" s="5" t="s">
        <v>6047</v>
      </c>
      <c r="J2537" s="12" t="str">
        <f>HYPERLINK("https://www.boe.es/gazeta/dias/1807/02/13/pdfs/GMD-1807-15.pdf#page=8","Abrir facsímil")</f>
        <v>Abrir facsímil</v>
      </c>
      <c r="K2537" s="15" t="s">
        <v>22</v>
      </c>
    </row>
    <row r="2538" spans="1:11" ht="42" customHeight="1">
      <c r="A2538" s="4" t="s">
        <v>6048</v>
      </c>
      <c r="B2538" s="5" t="s">
        <v>6048</v>
      </c>
      <c r="C2538" s="5" t="s">
        <v>24</v>
      </c>
      <c r="D2538" s="5" t="s">
        <v>18</v>
      </c>
      <c r="E2538" s="5" t="s">
        <v>46</v>
      </c>
      <c r="F2538" s="9">
        <v>78</v>
      </c>
      <c r="G2538" s="9">
        <v>904</v>
      </c>
      <c r="H2538" s="5" t="s">
        <v>20</v>
      </c>
      <c r="I2538" s="5" t="s">
        <v>6049</v>
      </c>
      <c r="J2538" s="12" t="str">
        <f>HYPERLINK("https://www.boe.es/gazeta/dias/1807/09/01/pdfs/GMD-1807-78.pdf#page=8","Abrir facsímil")</f>
        <v>Abrir facsímil</v>
      </c>
      <c r="K2538" s="15" t="s">
        <v>22</v>
      </c>
    </row>
    <row r="2539" spans="1:11" ht="42" customHeight="1">
      <c r="A2539" s="4" t="s">
        <v>6050</v>
      </c>
      <c r="B2539" s="5" t="s">
        <v>6050</v>
      </c>
      <c r="C2539" s="5" t="s">
        <v>34</v>
      </c>
      <c r="D2539" s="5" t="s">
        <v>35</v>
      </c>
      <c r="E2539" s="5" t="s">
        <v>282</v>
      </c>
      <c r="F2539" s="9">
        <v>16</v>
      </c>
      <c r="G2539" s="9">
        <v>185</v>
      </c>
      <c r="H2539" s="5" t="s">
        <v>20</v>
      </c>
      <c r="I2539" s="5" t="s">
        <v>6051</v>
      </c>
      <c r="J2539" s="12" t="str">
        <f>HYPERLINK("https://www.boe.es/gazeta/dias/1807/02/17/pdfs/GMD-1807-16.pdf#page=9","Abrir facsímil")</f>
        <v>Abrir facsímil</v>
      </c>
      <c r="K2539" s="15" t="s">
        <v>22</v>
      </c>
    </row>
    <row r="2540" spans="1:11" ht="42" customHeight="1">
      <c r="A2540" s="4" t="s">
        <v>6052</v>
      </c>
      <c r="B2540" s="5" t="s">
        <v>6052</v>
      </c>
      <c r="C2540" s="5" t="s">
        <v>69</v>
      </c>
      <c r="D2540" s="5" t="s">
        <v>70</v>
      </c>
      <c r="E2540" s="5" t="s">
        <v>71</v>
      </c>
      <c r="F2540" s="9">
        <v>35</v>
      </c>
      <c r="G2540" s="9" t="s">
        <v>2055</v>
      </c>
      <c r="H2540" s="5" t="s">
        <v>20</v>
      </c>
      <c r="I2540" s="5" t="s">
        <v>6053</v>
      </c>
      <c r="J2540" s="12" t="str">
        <f>HYPERLINK("https://www.boe.es/gazeta/dias/1807/04/21/pdfs/C00001-00004.pdf#page=2","Abrir facsímil")</f>
        <v>Abrir facsímil</v>
      </c>
      <c r="K2540" s="15" t="s">
        <v>22</v>
      </c>
    </row>
    <row r="2541" spans="1:11" ht="42" customHeight="1">
      <c r="A2541" s="4" t="s">
        <v>6054</v>
      </c>
      <c r="B2541" s="5" t="s">
        <v>6054</v>
      </c>
      <c r="C2541" s="5" t="s">
        <v>34</v>
      </c>
      <c r="D2541" s="5" t="s">
        <v>35</v>
      </c>
      <c r="E2541" s="5" t="s">
        <v>296</v>
      </c>
      <c r="F2541" s="9">
        <v>102</v>
      </c>
      <c r="G2541" s="9">
        <v>1189</v>
      </c>
      <c r="H2541" s="5" t="s">
        <v>20</v>
      </c>
      <c r="I2541" s="5" t="s">
        <v>6055</v>
      </c>
      <c r="J2541" s="12" t="str">
        <f>HYPERLINK("https://www.boe.es/gazeta/dias/1807/11/17/pdfs/GMD-1807-102.pdf#page=9","Abrir facsímil")</f>
        <v>Abrir facsímil</v>
      </c>
      <c r="K2541" s="15" t="s">
        <v>22</v>
      </c>
    </row>
    <row r="2542" spans="1:11" ht="42" customHeight="1">
      <c r="A2542" s="4" t="s">
        <v>6056</v>
      </c>
      <c r="B2542" s="5" t="s">
        <v>6056</v>
      </c>
      <c r="C2542" s="5" t="s">
        <v>89</v>
      </c>
      <c r="D2542" s="5" t="s">
        <v>90</v>
      </c>
      <c r="E2542" s="5" t="s">
        <v>259</v>
      </c>
      <c r="F2542" s="9">
        <v>3</v>
      </c>
      <c r="G2542" s="9">
        <v>31</v>
      </c>
      <c r="H2542" s="5" t="s">
        <v>20</v>
      </c>
      <c r="I2542" s="5" t="s">
        <v>6057</v>
      </c>
      <c r="J2542" s="12" t="str">
        <f>HYPERLINK("https://www.boe.es/gazeta/dias/1807/01/09/pdfs/GMD-1807-3.pdf#page=11","Abrir facsímil")</f>
        <v>Abrir facsímil</v>
      </c>
      <c r="K2542" s="15" t="s">
        <v>22</v>
      </c>
    </row>
    <row r="2543" spans="1:11" ht="42" customHeight="1">
      <c r="A2543" s="4" t="s">
        <v>6058</v>
      </c>
      <c r="B2543" s="5" t="s">
        <v>6058</v>
      </c>
      <c r="C2543" s="5" t="s">
        <v>28</v>
      </c>
      <c r="D2543" s="5" t="s">
        <v>29</v>
      </c>
      <c r="E2543" s="5" t="s">
        <v>42</v>
      </c>
      <c r="F2543" s="9">
        <v>31</v>
      </c>
      <c r="G2543" s="9">
        <v>367</v>
      </c>
      <c r="H2543" s="5" t="s">
        <v>20</v>
      </c>
      <c r="I2543" s="5" t="s">
        <v>6059</v>
      </c>
      <c r="J2543" s="12" t="str">
        <f>HYPERLINK("https://www.boe.es/gazeta/dias/1807/04/07/pdfs/GMD-1807-31.pdf#page=7","Abrir facsímil")</f>
        <v>Abrir facsímil</v>
      </c>
      <c r="K2543" s="15" t="s">
        <v>22</v>
      </c>
    </row>
    <row r="2544" spans="1:11" ht="42" customHeight="1">
      <c r="A2544" s="4" t="s">
        <v>6060</v>
      </c>
      <c r="B2544" s="5" t="s">
        <v>6060</v>
      </c>
      <c r="C2544" s="5" t="s">
        <v>34</v>
      </c>
      <c r="D2544" s="5" t="s">
        <v>35</v>
      </c>
      <c r="E2544" s="5" t="s">
        <v>461</v>
      </c>
      <c r="F2544" s="9">
        <v>99</v>
      </c>
      <c r="G2544" s="9">
        <v>1153</v>
      </c>
      <c r="H2544" s="5" t="s">
        <v>20</v>
      </c>
      <c r="I2544" s="5" t="s">
        <v>6061</v>
      </c>
      <c r="J2544" s="12" t="str">
        <f>HYPERLINK("https://www.boe.es/gazeta/dias/1807/11/06/pdfs/GMD-1807-99.pdf#page=9","Abrir facsímil")</f>
        <v>Abrir facsímil</v>
      </c>
      <c r="K2544" s="15" t="s">
        <v>22</v>
      </c>
    </row>
    <row r="2545" spans="1:11" ht="42" customHeight="1">
      <c r="A2545" s="4" t="s">
        <v>6062</v>
      </c>
      <c r="B2545" s="5" t="s">
        <v>6062</v>
      </c>
      <c r="C2545" s="5" t="s">
        <v>34</v>
      </c>
      <c r="D2545" s="5" t="s">
        <v>35</v>
      </c>
      <c r="E2545" s="5" t="s">
        <v>40</v>
      </c>
      <c r="F2545" s="9">
        <v>26</v>
      </c>
      <c r="G2545" s="9">
        <v>310</v>
      </c>
      <c r="H2545" s="5" t="s">
        <v>20</v>
      </c>
      <c r="I2545" s="5" t="s">
        <v>6063</v>
      </c>
      <c r="J2545" s="12" t="str">
        <f>HYPERLINK("https://www.boe.es/gazeta/dias/1807/03/20/pdfs/GMD-1807-26.pdf#page=6","Abrir facsímil")</f>
        <v>Abrir facsímil</v>
      </c>
      <c r="K2545" s="15" t="s">
        <v>22</v>
      </c>
    </row>
    <row r="2546" spans="1:11" ht="42" customHeight="1">
      <c r="A2546" s="4" t="s">
        <v>6064</v>
      </c>
      <c r="B2546" s="5" t="s">
        <v>6065</v>
      </c>
      <c r="C2546" s="5" t="s">
        <v>34</v>
      </c>
      <c r="D2546" s="5" t="s">
        <v>35</v>
      </c>
      <c r="E2546" s="5" t="s">
        <v>422</v>
      </c>
      <c r="F2546" s="9">
        <v>33</v>
      </c>
      <c r="G2546" s="9">
        <v>395</v>
      </c>
      <c r="H2546" s="5" t="s">
        <v>20</v>
      </c>
      <c r="I2546" s="5" t="s">
        <v>6066</v>
      </c>
      <c r="J2546" s="12" t="str">
        <f>HYPERLINK("https://www.boe.es/gazeta/dias/1807/04/14/pdfs/GMD-1807-33.pdf#page=11","Abrir facsímil")</f>
        <v>Abrir facsímil</v>
      </c>
      <c r="K2546" s="15" t="s">
        <v>22</v>
      </c>
    </row>
    <row r="2547" spans="1:11" ht="42" customHeight="1">
      <c r="A2547" s="4" t="s">
        <v>6067</v>
      </c>
      <c r="B2547" s="5" t="s">
        <v>6067</v>
      </c>
      <c r="C2547" s="5" t="s">
        <v>34</v>
      </c>
      <c r="D2547" s="5" t="s">
        <v>35</v>
      </c>
      <c r="E2547" s="5" t="s">
        <v>471</v>
      </c>
      <c r="F2547" s="9">
        <v>51</v>
      </c>
      <c r="G2547" s="9">
        <v>605</v>
      </c>
      <c r="H2547" s="5" t="s">
        <v>20</v>
      </c>
      <c r="I2547" s="5" t="s">
        <v>6068</v>
      </c>
      <c r="J2547" s="12" t="str">
        <f>HYPERLINK("https://www.boe.es/gazeta/dias/1807/06/16/pdfs/GMD-1807-51.pdf#page=7","Abrir facsímil")</f>
        <v>Abrir facsímil</v>
      </c>
      <c r="K2547" s="15" t="s">
        <v>22</v>
      </c>
    </row>
    <row r="2548" spans="1:11" ht="42" customHeight="1">
      <c r="A2548" s="4" t="s">
        <v>6069</v>
      </c>
      <c r="B2548" s="5" t="s">
        <v>6069</v>
      </c>
      <c r="C2548" s="5" t="s">
        <v>28</v>
      </c>
      <c r="D2548" s="5" t="s">
        <v>29</v>
      </c>
      <c r="E2548" s="5" t="s">
        <v>245</v>
      </c>
      <c r="F2548" s="9">
        <v>97</v>
      </c>
      <c r="G2548" s="9">
        <v>1127</v>
      </c>
      <c r="H2548" s="5" t="s">
        <v>20</v>
      </c>
      <c r="I2548" s="5" t="s">
        <v>6070</v>
      </c>
      <c r="J2548" s="12" t="str">
        <f>HYPERLINK("https://www.boe.es/gazeta/dias/1807/10/30/pdfs/GMD-1807-97.pdf#page=7","Abrir facsímil")</f>
        <v>Abrir facsímil</v>
      </c>
      <c r="K2548" s="15" t="s">
        <v>22</v>
      </c>
    </row>
    <row r="2549" spans="1:11" ht="42" customHeight="1">
      <c r="A2549" s="4" t="s">
        <v>6071</v>
      </c>
      <c r="B2549" s="5" t="s">
        <v>6071</v>
      </c>
      <c r="C2549" s="5" t="s">
        <v>34</v>
      </c>
      <c r="D2549" s="5" t="s">
        <v>35</v>
      </c>
      <c r="E2549" s="5" t="s">
        <v>36</v>
      </c>
      <c r="F2549" s="9">
        <v>36</v>
      </c>
      <c r="G2549" s="9">
        <v>430</v>
      </c>
      <c r="H2549" s="5" t="s">
        <v>20</v>
      </c>
      <c r="I2549" s="5" t="s">
        <v>6072</v>
      </c>
      <c r="J2549" s="12" t="str">
        <f>HYPERLINK("https://www.boe.es/gazeta/dias/1807/04/24/pdfs/GMD-1807-36.pdf#page=10","Abrir facsímil")</f>
        <v>Abrir facsímil</v>
      </c>
      <c r="K2549" s="15" t="s">
        <v>22</v>
      </c>
    </row>
    <row r="2550" spans="1:11" ht="42" customHeight="1">
      <c r="A2550" s="4" t="s">
        <v>6073</v>
      </c>
      <c r="B2550" s="5" t="s">
        <v>6073</v>
      </c>
      <c r="C2550" s="5" t="s">
        <v>28</v>
      </c>
      <c r="D2550" s="5" t="s">
        <v>29</v>
      </c>
      <c r="E2550" s="5" t="s">
        <v>346</v>
      </c>
      <c r="F2550" s="9">
        <v>21</v>
      </c>
      <c r="G2550" s="9">
        <v>246</v>
      </c>
      <c r="H2550" s="5" t="s">
        <v>20</v>
      </c>
      <c r="I2550" s="5" t="s">
        <v>6074</v>
      </c>
      <c r="J2550" s="12" t="str">
        <f>HYPERLINK("https://www.boe.es/gazeta/dias/1807/03/03/pdfs/GMD-1807-21.pdf#page=10","Abrir facsímil")</f>
        <v>Abrir facsímil</v>
      </c>
      <c r="K2550" s="15" t="s">
        <v>22</v>
      </c>
    </row>
    <row r="2551" spans="1:11" ht="42" customHeight="1">
      <c r="A2551" s="4" t="s">
        <v>6075</v>
      </c>
      <c r="B2551" s="5" t="s">
        <v>6075</v>
      </c>
      <c r="C2551" s="5" t="s">
        <v>34</v>
      </c>
      <c r="D2551" s="5" t="s">
        <v>35</v>
      </c>
      <c r="E2551" s="5" t="s">
        <v>282</v>
      </c>
      <c r="F2551" s="9">
        <v>16</v>
      </c>
      <c r="G2551" s="9">
        <v>185</v>
      </c>
      <c r="H2551" s="5" t="s">
        <v>20</v>
      </c>
      <c r="I2551" s="5" t="s">
        <v>6076</v>
      </c>
      <c r="J2551" s="12" t="str">
        <f>HYPERLINK("https://www.boe.es/gazeta/dias/1807/02/17/pdfs/GMD-1807-16.pdf#page=9","Abrir facsímil")</f>
        <v>Abrir facsímil</v>
      </c>
      <c r="K2551" s="15" t="s">
        <v>22</v>
      </c>
    </row>
    <row r="2552" spans="1:11" ht="42" customHeight="1">
      <c r="A2552" s="4" t="s">
        <v>6075</v>
      </c>
      <c r="B2552" s="5" t="s">
        <v>6075</v>
      </c>
      <c r="C2552" s="5" t="s">
        <v>17</v>
      </c>
      <c r="D2552" s="5" t="s">
        <v>18</v>
      </c>
      <c r="E2552" s="5" t="s">
        <v>1354</v>
      </c>
      <c r="F2552" s="9">
        <v>83</v>
      </c>
      <c r="G2552" s="9">
        <v>971</v>
      </c>
      <c r="H2552" s="5" t="s">
        <v>20</v>
      </c>
      <c r="I2552" s="5" t="s">
        <v>6077</v>
      </c>
      <c r="J2552" s="12" t="str">
        <f>HYPERLINK("https://www.boe.es/gazeta/dias/1807/09/18/pdfs/GMD-1807-83.pdf#page=11","Abrir facsímil")</f>
        <v>Abrir facsímil</v>
      </c>
      <c r="K2552" s="15" t="s">
        <v>22</v>
      </c>
    </row>
    <row r="2553" spans="1:11" ht="42" customHeight="1">
      <c r="A2553" s="4" t="s">
        <v>6078</v>
      </c>
      <c r="B2553" s="5" t="s">
        <v>6078</v>
      </c>
      <c r="C2553" s="5" t="s">
        <v>17</v>
      </c>
      <c r="D2553" s="5" t="s">
        <v>18</v>
      </c>
      <c r="E2553" s="5" t="s">
        <v>1354</v>
      </c>
      <c r="F2553" s="9">
        <v>83</v>
      </c>
      <c r="G2553" s="9">
        <v>971</v>
      </c>
      <c r="H2553" s="5" t="s">
        <v>20</v>
      </c>
      <c r="I2553" s="5" t="s">
        <v>6079</v>
      </c>
      <c r="J2553" s="12" t="str">
        <f>HYPERLINK("https://www.boe.es/gazeta/dias/1807/09/18/pdfs/GMD-1807-83.pdf#page=11","Abrir facsímil")</f>
        <v>Abrir facsímil</v>
      </c>
      <c r="K2553" s="15" t="s">
        <v>22</v>
      </c>
    </row>
    <row r="2554" spans="1:11" ht="42" customHeight="1">
      <c r="A2554" s="4" t="s">
        <v>6080</v>
      </c>
      <c r="B2554" s="5" t="s">
        <v>6081</v>
      </c>
      <c r="C2554" s="5" t="s">
        <v>34</v>
      </c>
      <c r="D2554" s="5" t="s">
        <v>35</v>
      </c>
      <c r="E2554" s="5" t="s">
        <v>567</v>
      </c>
      <c r="F2554" s="9">
        <v>55</v>
      </c>
      <c r="G2554" s="9">
        <v>658</v>
      </c>
      <c r="H2554" s="5" t="s">
        <v>20</v>
      </c>
      <c r="I2554" s="5" t="s">
        <v>6082</v>
      </c>
      <c r="J2554" s="12" t="str">
        <f>HYPERLINK("https://www.boe.es/gazeta/dias/1807/06/30/pdfs/GMD-1807-55.pdf#page=8","Abrir facsímil")</f>
        <v>Abrir facsímil</v>
      </c>
      <c r="K2554" s="15" t="s">
        <v>22</v>
      </c>
    </row>
    <row r="2555" spans="1:11" ht="42" customHeight="1">
      <c r="A2555" s="4" t="s">
        <v>6083</v>
      </c>
      <c r="B2555" s="5" t="s">
        <v>6083</v>
      </c>
      <c r="C2555" s="5" t="s">
        <v>34</v>
      </c>
      <c r="D2555" s="5" t="s">
        <v>35</v>
      </c>
      <c r="E2555" s="5" t="s">
        <v>42</v>
      </c>
      <c r="F2555" s="9">
        <v>31</v>
      </c>
      <c r="G2555" s="9">
        <v>371</v>
      </c>
      <c r="H2555" s="5" t="s">
        <v>20</v>
      </c>
      <c r="I2555" s="5" t="s">
        <v>6084</v>
      </c>
      <c r="J2555" s="12" t="str">
        <f>HYPERLINK("https://www.boe.es/gazeta/dias/1807/04/07/pdfs/GMD-1807-31.pdf#page=11","Abrir facsímil")</f>
        <v>Abrir facsímil</v>
      </c>
      <c r="K2555" s="15" t="s">
        <v>22</v>
      </c>
    </row>
    <row r="2556" spans="1:11" ht="42" customHeight="1">
      <c r="A2556" s="4" t="s">
        <v>6085</v>
      </c>
      <c r="B2556" s="5" t="s">
        <v>6085</v>
      </c>
      <c r="C2556" s="5" t="s">
        <v>24</v>
      </c>
      <c r="D2556" s="5" t="s">
        <v>18</v>
      </c>
      <c r="E2556" s="5" t="s">
        <v>301</v>
      </c>
      <c r="F2556" s="9">
        <v>89</v>
      </c>
      <c r="G2556" s="9">
        <v>1031</v>
      </c>
      <c r="H2556" s="5" t="s">
        <v>20</v>
      </c>
      <c r="I2556" s="5" t="s">
        <v>6086</v>
      </c>
      <c r="J2556" s="12" t="str">
        <f>HYPERLINK("https://www.boe.es/gazeta/dias/1807/10/02/pdfs/GMD-1807-89.pdf#page=11","Abrir facsímil")</f>
        <v>Abrir facsímil</v>
      </c>
      <c r="K2556" s="15" t="s">
        <v>22</v>
      </c>
    </row>
    <row r="2557" spans="1:11" ht="42" customHeight="1">
      <c r="A2557" s="4" t="s">
        <v>6087</v>
      </c>
      <c r="B2557" s="5" t="s">
        <v>6087</v>
      </c>
      <c r="C2557" s="5" t="s">
        <v>34</v>
      </c>
      <c r="D2557" s="5" t="s">
        <v>35</v>
      </c>
      <c r="E2557" s="5" t="s">
        <v>190</v>
      </c>
      <c r="F2557" s="9">
        <v>37</v>
      </c>
      <c r="G2557" s="9">
        <v>440</v>
      </c>
      <c r="H2557" s="5" t="s">
        <v>20</v>
      </c>
      <c r="I2557" s="5" t="s">
        <v>6088</v>
      </c>
      <c r="J2557" s="12" t="str">
        <f>HYPERLINK("https://www.boe.es/gazeta/dias/1807/04/28/pdfs/GMD-1807-37.pdf#page=8","Abrir facsímil")</f>
        <v>Abrir facsímil</v>
      </c>
      <c r="K2557" s="15" t="s">
        <v>22</v>
      </c>
    </row>
    <row r="2558" spans="1:11" ht="42" customHeight="1">
      <c r="A2558" s="4" t="s">
        <v>6089</v>
      </c>
      <c r="B2558" s="5" t="s">
        <v>6089</v>
      </c>
      <c r="C2558" s="5" t="s">
        <v>28</v>
      </c>
      <c r="D2558" s="5" t="s">
        <v>29</v>
      </c>
      <c r="E2558" s="5" t="s">
        <v>1340</v>
      </c>
      <c r="F2558" s="9">
        <v>114</v>
      </c>
      <c r="G2558" s="9">
        <v>1326</v>
      </c>
      <c r="H2558" s="5" t="s">
        <v>20</v>
      </c>
      <c r="I2558" s="5" t="s">
        <v>6090</v>
      </c>
      <c r="J2558" s="12" t="str">
        <f>HYPERLINK("https://www.boe.es/gazeta/dias/1807/12/25/pdfs/GMD-1807-114.pdf#page=2","Abrir facsímil")</f>
        <v>Abrir facsímil</v>
      </c>
      <c r="K2558" s="15" t="s">
        <v>22</v>
      </c>
    </row>
    <row r="2559" spans="1:11" ht="42" customHeight="1">
      <c r="A2559" s="4" t="s">
        <v>6091</v>
      </c>
      <c r="B2559" s="5" t="s">
        <v>6091</v>
      </c>
      <c r="C2559" s="5" t="s">
        <v>89</v>
      </c>
      <c r="D2559" s="5" t="s">
        <v>90</v>
      </c>
      <c r="E2559" s="5" t="s">
        <v>441</v>
      </c>
      <c r="F2559" s="9">
        <v>92</v>
      </c>
      <c r="G2559" s="9">
        <v>1070</v>
      </c>
      <c r="H2559" s="5" t="s">
        <v>20</v>
      </c>
      <c r="I2559" s="5" t="s">
        <v>6092</v>
      </c>
      <c r="J2559" s="12" t="str">
        <f>HYPERLINK("https://www.boe.es/gazeta/dias/1807/10/13/pdfs/GMD-1807-92.pdf#page=10","Abrir facsímil")</f>
        <v>Abrir facsímil</v>
      </c>
      <c r="K2559" s="15" t="s">
        <v>22</v>
      </c>
    </row>
    <row r="2560" spans="1:11" ht="42" customHeight="1">
      <c r="A2560" s="4" t="s">
        <v>6093</v>
      </c>
      <c r="B2560" s="5" t="s">
        <v>6093</v>
      </c>
      <c r="C2560" s="5" t="s">
        <v>34</v>
      </c>
      <c r="D2560" s="5" t="s">
        <v>35</v>
      </c>
      <c r="E2560" s="5" t="s">
        <v>221</v>
      </c>
      <c r="F2560" s="9">
        <v>73</v>
      </c>
      <c r="G2560" s="9">
        <v>845</v>
      </c>
      <c r="H2560" s="5" t="s">
        <v>20</v>
      </c>
      <c r="I2560" s="5" t="s">
        <v>6094</v>
      </c>
      <c r="J2560" s="12" t="str">
        <f>HYPERLINK("https://www.boe.es/gazeta/dias/1807/08/14/pdfs/GMD-1807-73.pdf#page=9","Abrir facsímil")</f>
        <v>Abrir facsímil</v>
      </c>
      <c r="K2560" s="15" t="s">
        <v>22</v>
      </c>
    </row>
    <row r="2561" spans="1:11" ht="42" customHeight="1">
      <c r="A2561" s="4" t="s">
        <v>6093</v>
      </c>
      <c r="B2561" s="5" t="s">
        <v>6093</v>
      </c>
      <c r="C2561" s="5" t="s">
        <v>34</v>
      </c>
      <c r="D2561" s="5" t="s">
        <v>35</v>
      </c>
      <c r="E2561" s="5" t="s">
        <v>156</v>
      </c>
      <c r="F2561" s="9">
        <v>74</v>
      </c>
      <c r="G2561" s="9">
        <v>854</v>
      </c>
      <c r="H2561" s="5" t="s">
        <v>20</v>
      </c>
      <c r="I2561" s="5" t="s">
        <v>6095</v>
      </c>
      <c r="J2561" s="12" t="str">
        <f>HYPERLINK("https://www.boe.es/gazeta/dias/1807/08/18/pdfs/GMD-1807-74.pdf#page=6","Abrir facsímil")</f>
        <v>Abrir facsímil</v>
      </c>
      <c r="K2561" s="15" t="s">
        <v>22</v>
      </c>
    </row>
    <row r="2562" spans="1:11" ht="42" customHeight="1">
      <c r="A2562" s="4" t="s">
        <v>6096</v>
      </c>
      <c r="B2562" s="5" t="s">
        <v>6096</v>
      </c>
      <c r="C2562" s="5" t="s">
        <v>34</v>
      </c>
      <c r="D2562" s="5" t="s">
        <v>35</v>
      </c>
      <c r="E2562" s="5" t="s">
        <v>471</v>
      </c>
      <c r="F2562" s="9">
        <v>51</v>
      </c>
      <c r="G2562" s="9">
        <v>605</v>
      </c>
      <c r="H2562" s="5" t="s">
        <v>20</v>
      </c>
      <c r="I2562" s="5" t="s">
        <v>6097</v>
      </c>
      <c r="J2562" s="12" t="str">
        <f>HYPERLINK("https://www.boe.es/gazeta/dias/1807/06/16/pdfs/GMD-1807-51.pdf#page=7","Abrir facsímil")</f>
        <v>Abrir facsímil</v>
      </c>
      <c r="K2562" s="15" t="s">
        <v>22</v>
      </c>
    </row>
    <row r="2563" spans="1:11" ht="42" customHeight="1">
      <c r="A2563" s="4" t="s">
        <v>6098</v>
      </c>
      <c r="B2563" s="5" t="s">
        <v>6098</v>
      </c>
      <c r="C2563" s="5" t="s">
        <v>24</v>
      </c>
      <c r="D2563" s="5" t="s">
        <v>18</v>
      </c>
      <c r="E2563" s="5" t="s">
        <v>46</v>
      </c>
      <c r="F2563" s="9">
        <v>78</v>
      </c>
      <c r="G2563" s="9">
        <v>904</v>
      </c>
      <c r="H2563" s="5" t="s">
        <v>20</v>
      </c>
      <c r="I2563" s="5" t="s">
        <v>6099</v>
      </c>
      <c r="J2563" s="12" t="str">
        <f>HYPERLINK("https://www.boe.es/gazeta/dias/1807/09/01/pdfs/GMD-1807-78.pdf#page=8","Abrir facsímil")</f>
        <v>Abrir facsímil</v>
      </c>
      <c r="K2563" s="15" t="s">
        <v>22</v>
      </c>
    </row>
    <row r="2564" spans="1:11" ht="42" customHeight="1">
      <c r="A2564" s="4" t="s">
        <v>6100</v>
      </c>
      <c r="B2564" s="5" t="s">
        <v>6100</v>
      </c>
      <c r="C2564" s="5" t="s">
        <v>28</v>
      </c>
      <c r="D2564" s="5" t="s">
        <v>29</v>
      </c>
      <c r="E2564" s="5" t="s">
        <v>111</v>
      </c>
      <c r="F2564" s="9">
        <v>90</v>
      </c>
      <c r="G2564" s="9">
        <v>1044</v>
      </c>
      <c r="H2564" s="5" t="s">
        <v>20</v>
      </c>
      <c r="I2564" s="5" t="s">
        <v>6101</v>
      </c>
      <c r="J2564" s="12" t="str">
        <f>HYPERLINK("https://www.boe.es/gazeta/dias/1807/10/06/pdfs/GMD-1807-90.pdf#page=12","Abrir facsímil")</f>
        <v>Abrir facsímil</v>
      </c>
      <c r="K2564" s="15" t="s">
        <v>22</v>
      </c>
    </row>
    <row r="2565" spans="1:11" ht="42" customHeight="1">
      <c r="A2565" s="4" t="s">
        <v>6102</v>
      </c>
      <c r="B2565" s="5" t="s">
        <v>6102</v>
      </c>
      <c r="C2565" s="5" t="s">
        <v>34</v>
      </c>
      <c r="D2565" s="5" t="s">
        <v>35</v>
      </c>
      <c r="E2565" s="5" t="s">
        <v>106</v>
      </c>
      <c r="F2565" s="9">
        <v>39</v>
      </c>
      <c r="G2565" s="9">
        <v>466</v>
      </c>
      <c r="H2565" s="5" t="s">
        <v>20</v>
      </c>
      <c r="I2565" s="5" t="s">
        <v>6103</v>
      </c>
      <c r="J2565" s="12" t="str">
        <f>HYPERLINK("https://www.boe.es/gazeta/dias/1807/05/05/pdfs/GMD-1807-39.pdf#page=8","Abrir facsímil")</f>
        <v>Abrir facsímil</v>
      </c>
      <c r="K2565" s="15" t="s">
        <v>22</v>
      </c>
    </row>
    <row r="2566" spans="1:11" ht="42" customHeight="1">
      <c r="A2566" s="4" t="s">
        <v>6104</v>
      </c>
      <c r="B2566" s="5" t="s">
        <v>6104</v>
      </c>
      <c r="C2566" s="5" t="s">
        <v>24</v>
      </c>
      <c r="D2566" s="5" t="s">
        <v>18</v>
      </c>
      <c r="E2566" s="5" t="s">
        <v>149</v>
      </c>
      <c r="F2566" s="9">
        <v>38</v>
      </c>
      <c r="G2566" s="9">
        <v>454</v>
      </c>
      <c r="H2566" s="5" t="s">
        <v>20</v>
      </c>
      <c r="I2566" s="5" t="s">
        <v>6105</v>
      </c>
      <c r="J2566" s="12" t="str">
        <f>HYPERLINK("https://www.boe.es/gazeta/dias/1807/05/01/pdfs/GMD-1807-38.pdf#page=10","Abrir facsímil")</f>
        <v>Abrir facsímil</v>
      </c>
      <c r="K2566" s="15" t="s">
        <v>22</v>
      </c>
    </row>
    <row r="2567" spans="1:11" ht="42" customHeight="1">
      <c r="A2567" s="4" t="s">
        <v>6106</v>
      </c>
      <c r="B2567" s="5" t="s">
        <v>6106</v>
      </c>
      <c r="C2567" s="5" t="s">
        <v>28</v>
      </c>
      <c r="D2567" s="5" t="s">
        <v>29</v>
      </c>
      <c r="E2567" s="5" t="s">
        <v>346</v>
      </c>
      <c r="F2567" s="9">
        <v>21</v>
      </c>
      <c r="G2567" s="9">
        <v>245</v>
      </c>
      <c r="H2567" s="5" t="s">
        <v>20</v>
      </c>
      <c r="I2567" s="5" t="s">
        <v>6107</v>
      </c>
      <c r="J2567" s="12" t="str">
        <f>HYPERLINK("https://www.boe.es/gazeta/dias/1807/03/03/pdfs/GMD-1807-21.pdf#page=9","Abrir facsímil")</f>
        <v>Abrir facsímil</v>
      </c>
      <c r="K2567" s="15" t="s">
        <v>22</v>
      </c>
    </row>
    <row r="2568" spans="1:11" ht="42" customHeight="1">
      <c r="A2568" s="4" t="s">
        <v>6106</v>
      </c>
      <c r="B2568" s="5" t="s">
        <v>6106</v>
      </c>
      <c r="C2568" s="5" t="s">
        <v>28</v>
      </c>
      <c r="D2568" s="5" t="s">
        <v>29</v>
      </c>
      <c r="E2568" s="5" t="s">
        <v>346</v>
      </c>
      <c r="F2568" s="9">
        <v>21</v>
      </c>
      <c r="G2568" s="9">
        <v>246</v>
      </c>
      <c r="H2568" s="5" t="s">
        <v>20</v>
      </c>
      <c r="I2568" s="5" t="s">
        <v>6108</v>
      </c>
      <c r="J2568" s="12" t="str">
        <f>HYPERLINK("https://www.boe.es/gazeta/dias/1807/03/03/pdfs/GMD-1807-21.pdf#page=10","Abrir facsímil")</f>
        <v>Abrir facsímil</v>
      </c>
      <c r="K2568" s="15" t="s">
        <v>22</v>
      </c>
    </row>
    <row r="2569" spans="1:11" ht="42" customHeight="1">
      <c r="A2569" s="4" t="s">
        <v>6109</v>
      </c>
      <c r="B2569" s="5" t="s">
        <v>6109</v>
      </c>
      <c r="C2569" s="5" t="s">
        <v>28</v>
      </c>
      <c r="D2569" s="5" t="s">
        <v>29</v>
      </c>
      <c r="E2569" s="5" t="s">
        <v>346</v>
      </c>
      <c r="F2569" s="9">
        <v>21</v>
      </c>
      <c r="G2569" s="9">
        <v>246</v>
      </c>
      <c r="H2569" s="5" t="s">
        <v>20</v>
      </c>
      <c r="I2569" s="5" t="s">
        <v>6110</v>
      </c>
      <c r="J2569" s="12" t="str">
        <f>HYPERLINK("https://www.boe.es/gazeta/dias/1807/03/03/pdfs/GMD-1807-21.pdf#page=10","Abrir facsímil")</f>
        <v>Abrir facsímil</v>
      </c>
      <c r="K2569" s="15" t="s">
        <v>22</v>
      </c>
    </row>
    <row r="2570" spans="1:11" ht="42" customHeight="1">
      <c r="A2570" s="4" t="s">
        <v>6111</v>
      </c>
      <c r="B2570" s="5" t="s">
        <v>6111</v>
      </c>
      <c r="C2570" s="5" t="s">
        <v>28</v>
      </c>
      <c r="D2570" s="5" t="s">
        <v>29</v>
      </c>
      <c r="E2570" s="5" t="s">
        <v>106</v>
      </c>
      <c r="F2570" s="9">
        <v>39</v>
      </c>
      <c r="G2570" s="9">
        <v>469</v>
      </c>
      <c r="H2570" s="5" t="s">
        <v>20</v>
      </c>
      <c r="I2570" s="5" t="s">
        <v>6112</v>
      </c>
      <c r="J2570" s="12" t="str">
        <f>HYPERLINK("https://www.boe.es/gazeta/dias/1807/05/05/pdfs/GMD-1807-39.pdf#page=11","Abrir facsímil")</f>
        <v>Abrir facsímil</v>
      </c>
      <c r="K2570" s="15" t="s">
        <v>22</v>
      </c>
    </row>
    <row r="2571" spans="1:11" ht="42" customHeight="1">
      <c r="A2571" s="4" t="s">
        <v>6113</v>
      </c>
      <c r="B2571" s="5" t="s">
        <v>6113</v>
      </c>
      <c r="C2571" s="5" t="s">
        <v>17</v>
      </c>
      <c r="D2571" s="5" t="s">
        <v>18</v>
      </c>
      <c r="E2571" s="5" t="s">
        <v>149</v>
      </c>
      <c r="F2571" s="9">
        <v>38</v>
      </c>
      <c r="G2571" s="9">
        <v>450</v>
      </c>
      <c r="H2571" s="5" t="s">
        <v>20</v>
      </c>
      <c r="I2571" s="5" t="s">
        <v>6114</v>
      </c>
      <c r="J2571" s="12" t="str">
        <f>HYPERLINK("https://www.boe.es/gazeta/dias/1807/05/01/pdfs/GMD-1807-38.pdf#page=6","Abrir facsímil")</f>
        <v>Abrir facsímil</v>
      </c>
      <c r="K2571" s="15" t="s">
        <v>22</v>
      </c>
    </row>
    <row r="2572" spans="1:11" ht="42" customHeight="1">
      <c r="A2572" s="4" t="s">
        <v>6115</v>
      </c>
      <c r="B2572" s="5" t="s">
        <v>6115</v>
      </c>
      <c r="C2572" s="5" t="s">
        <v>28</v>
      </c>
      <c r="D2572" s="5" t="s">
        <v>29</v>
      </c>
      <c r="E2572" s="5" t="s">
        <v>620</v>
      </c>
      <c r="F2572" s="9">
        <v>84</v>
      </c>
      <c r="G2572" s="9">
        <v>982</v>
      </c>
      <c r="H2572" s="5" t="s">
        <v>20</v>
      </c>
      <c r="I2572" s="5" t="s">
        <v>6116</v>
      </c>
      <c r="J2572" s="12" t="str">
        <f>HYPERLINK("https://www.boe.es/gazeta/dias/1807/09/22/pdfs/GMD-1807-84.pdf#page=10","Abrir facsímil")</f>
        <v>Abrir facsímil</v>
      </c>
      <c r="K2572" s="15" t="s">
        <v>22</v>
      </c>
    </row>
    <row r="2573" spans="1:11" ht="42" customHeight="1">
      <c r="A2573" s="4" t="s">
        <v>6117</v>
      </c>
      <c r="B2573" s="5" t="s">
        <v>6117</v>
      </c>
      <c r="C2573" s="5" t="s">
        <v>34</v>
      </c>
      <c r="D2573" s="5" t="s">
        <v>35</v>
      </c>
      <c r="E2573" s="5" t="s">
        <v>114</v>
      </c>
      <c r="F2573" s="9">
        <v>46</v>
      </c>
      <c r="G2573" s="9">
        <v>548</v>
      </c>
      <c r="H2573" s="5" t="s">
        <v>20</v>
      </c>
      <c r="I2573" s="5" t="s">
        <v>6118</v>
      </c>
      <c r="J2573" s="12" t="str">
        <f>HYPERLINK("https://www.boe.es/gazeta/dias/1807/05/29/pdfs/GMD-1807-46.pdf#page=6","Abrir facsímil")</f>
        <v>Abrir facsímil</v>
      </c>
      <c r="K2573" s="15" t="s">
        <v>22</v>
      </c>
    </row>
    <row r="2574" spans="1:11" ht="42" customHeight="1">
      <c r="A2574" s="4" t="s">
        <v>6119</v>
      </c>
      <c r="B2574" s="5" t="s">
        <v>6119</v>
      </c>
      <c r="C2574" s="5" t="s">
        <v>34</v>
      </c>
      <c r="D2574" s="5" t="s">
        <v>35</v>
      </c>
      <c r="E2574" s="5" t="s">
        <v>3230</v>
      </c>
      <c r="F2574" s="9">
        <v>27</v>
      </c>
      <c r="G2574" s="9">
        <v>325</v>
      </c>
      <c r="H2574" s="5" t="s">
        <v>20</v>
      </c>
      <c r="I2574" s="5" t="s">
        <v>6120</v>
      </c>
      <c r="J2574" s="12" t="str">
        <f>HYPERLINK("https://www.boe.es/gazeta/dias/1807/03/24/pdfs/GMD-1807-27.pdf#page=9","Abrir facsímil")</f>
        <v>Abrir facsímil</v>
      </c>
      <c r="K2574" s="15" t="s">
        <v>22</v>
      </c>
    </row>
    <row r="2575" spans="1:11" ht="42" customHeight="1">
      <c r="A2575" s="4" t="s">
        <v>6121</v>
      </c>
      <c r="B2575" s="5" t="s">
        <v>6121</v>
      </c>
      <c r="C2575" s="5" t="s">
        <v>34</v>
      </c>
      <c r="D2575" s="5" t="s">
        <v>35</v>
      </c>
      <c r="E2575" s="5" t="s">
        <v>654</v>
      </c>
      <c r="F2575" s="9">
        <v>94</v>
      </c>
      <c r="G2575" s="9">
        <v>1093</v>
      </c>
      <c r="H2575" s="5" t="s">
        <v>20</v>
      </c>
      <c r="I2575" s="5" t="s">
        <v>6122</v>
      </c>
      <c r="J2575" s="12" t="str">
        <f>HYPERLINK("https://www.boe.es/gazeta/dias/1807/10/20/pdfs/GMD-1807-94.pdf#page=9","Abrir facsímil")</f>
        <v>Abrir facsímil</v>
      </c>
      <c r="K2575" s="15" t="s">
        <v>22</v>
      </c>
    </row>
    <row r="2576" spans="1:11" ht="42" customHeight="1">
      <c r="A2576" s="4" t="s">
        <v>6123</v>
      </c>
      <c r="B2576" s="5" t="s">
        <v>6123</v>
      </c>
      <c r="C2576" s="5" t="s">
        <v>34</v>
      </c>
      <c r="D2576" s="5" t="s">
        <v>35</v>
      </c>
      <c r="E2576" s="5" t="s">
        <v>183</v>
      </c>
      <c r="F2576" s="9">
        <v>1</v>
      </c>
      <c r="G2576" s="9">
        <v>11</v>
      </c>
      <c r="H2576" s="5" t="s">
        <v>20</v>
      </c>
      <c r="I2576" s="5" t="s">
        <v>6124</v>
      </c>
      <c r="J2576" s="12" t="str">
        <f>HYPERLINK("https://www.boe.es/gazeta/dias/1807/01/02/pdfs/GMD-1807-1.pdf#page=11","Abrir facsímil")</f>
        <v>Abrir facsímil</v>
      </c>
      <c r="K2576" s="15" t="s">
        <v>22</v>
      </c>
    </row>
    <row r="2577" spans="1:11" ht="42" customHeight="1">
      <c r="A2577" s="4" t="s">
        <v>6125</v>
      </c>
      <c r="B2577" s="5" t="s">
        <v>6126</v>
      </c>
      <c r="C2577" s="5" t="s">
        <v>17</v>
      </c>
      <c r="D2577" s="5" t="s">
        <v>18</v>
      </c>
      <c r="E2577" s="5" t="s">
        <v>754</v>
      </c>
      <c r="F2577" s="9">
        <v>103</v>
      </c>
      <c r="G2577" s="9">
        <v>1201</v>
      </c>
      <c r="H2577" s="5" t="s">
        <v>20</v>
      </c>
      <c r="I2577" s="5" t="s">
        <v>6127</v>
      </c>
      <c r="J2577" s="12" t="str">
        <f>HYPERLINK("https://www.boe.es/gazeta/dias/1807/11/20/pdfs/GMD-1807-103.pdf#page=9","Abrir facsímil")</f>
        <v>Abrir facsímil</v>
      </c>
      <c r="K2577" s="15" t="s">
        <v>22</v>
      </c>
    </row>
    <row r="2578" spans="1:11" ht="42" customHeight="1">
      <c r="A2578" s="4" t="s">
        <v>6128</v>
      </c>
      <c r="B2578" s="5" t="s">
        <v>6128</v>
      </c>
      <c r="C2578" s="5" t="s">
        <v>24</v>
      </c>
      <c r="D2578" s="5" t="s">
        <v>18</v>
      </c>
      <c r="E2578" s="5" t="s">
        <v>71</v>
      </c>
      <c r="F2578" s="9">
        <v>35</v>
      </c>
      <c r="G2578" s="9">
        <v>419</v>
      </c>
      <c r="H2578" s="5" t="s">
        <v>20</v>
      </c>
      <c r="I2578" s="5" t="s">
        <v>6129</v>
      </c>
      <c r="J2578" s="12" t="str">
        <f>HYPERLINK("https://www.boe.es/gazeta/dias/1807/04/21/pdfs/GMD-1807-35.pdf#page=11","Abrir facsímil")</f>
        <v>Abrir facsímil</v>
      </c>
      <c r="K2578" s="15" t="s">
        <v>22</v>
      </c>
    </row>
    <row r="2579" spans="1:11" ht="42" customHeight="1">
      <c r="A2579" s="4" t="s">
        <v>6130</v>
      </c>
      <c r="B2579" s="5" t="s">
        <v>6130</v>
      </c>
      <c r="C2579" s="5" t="s">
        <v>34</v>
      </c>
      <c r="D2579" s="5" t="s">
        <v>35</v>
      </c>
      <c r="E2579" s="5" t="s">
        <v>282</v>
      </c>
      <c r="F2579" s="9">
        <v>16</v>
      </c>
      <c r="G2579" s="9">
        <v>185</v>
      </c>
      <c r="H2579" s="5" t="s">
        <v>20</v>
      </c>
      <c r="I2579" s="5" t="s">
        <v>6131</v>
      </c>
      <c r="J2579" s="12" t="str">
        <f>HYPERLINK("https://www.boe.es/gazeta/dias/1807/02/17/pdfs/GMD-1807-16.pdf#page=9","Abrir facsímil")</f>
        <v>Abrir facsímil</v>
      </c>
      <c r="K2579" s="15" t="s">
        <v>22</v>
      </c>
    </row>
    <row r="2580" spans="1:11" ht="42" customHeight="1">
      <c r="A2580" s="4" t="s">
        <v>6132</v>
      </c>
      <c r="B2580" s="5" t="s">
        <v>6133</v>
      </c>
      <c r="C2580" s="5" t="s">
        <v>34</v>
      </c>
      <c r="D2580" s="5" t="s">
        <v>35</v>
      </c>
      <c r="E2580" s="5" t="s">
        <v>190</v>
      </c>
      <c r="F2580" s="9">
        <v>37</v>
      </c>
      <c r="G2580" s="9">
        <v>440</v>
      </c>
      <c r="H2580" s="5" t="s">
        <v>20</v>
      </c>
      <c r="I2580" s="5" t="s">
        <v>6134</v>
      </c>
      <c r="J2580" s="12" t="str">
        <f>HYPERLINK("https://www.boe.es/gazeta/dias/1807/04/28/pdfs/GMD-1807-37.pdf#page=8","Abrir facsímil")</f>
        <v>Abrir facsímil</v>
      </c>
      <c r="K2580" s="15" t="s">
        <v>22</v>
      </c>
    </row>
    <row r="2581" spans="1:11" ht="42" customHeight="1">
      <c r="A2581" s="4" t="s">
        <v>6135</v>
      </c>
      <c r="B2581" s="5" t="s">
        <v>6135</v>
      </c>
      <c r="C2581" s="5" t="s">
        <v>34</v>
      </c>
      <c r="D2581" s="5" t="s">
        <v>35</v>
      </c>
      <c r="E2581" s="5" t="s">
        <v>595</v>
      </c>
      <c r="F2581" s="9">
        <v>59</v>
      </c>
      <c r="G2581" s="9">
        <v>702</v>
      </c>
      <c r="H2581" s="5" t="s">
        <v>20</v>
      </c>
      <c r="I2581" s="5" t="s">
        <v>6136</v>
      </c>
      <c r="J2581" s="12" t="str">
        <f>HYPERLINK("https://www.boe.es/gazeta/dias/1807/07/10/pdfs/GMD-1807-59.pdf#page=8","Abrir facsímil")</f>
        <v>Abrir facsímil</v>
      </c>
      <c r="K2581" s="15" t="s">
        <v>22</v>
      </c>
    </row>
    <row r="2582" spans="1:11" ht="42" customHeight="1">
      <c r="A2582" s="4" t="s">
        <v>6137</v>
      </c>
      <c r="B2582" s="5" t="s">
        <v>6137</v>
      </c>
      <c r="C2582" s="5" t="s">
        <v>34</v>
      </c>
      <c r="D2582" s="5" t="s">
        <v>35</v>
      </c>
      <c r="E2582" s="5" t="s">
        <v>595</v>
      </c>
      <c r="F2582" s="9">
        <v>59</v>
      </c>
      <c r="G2582" s="9">
        <v>702</v>
      </c>
      <c r="H2582" s="5" t="s">
        <v>20</v>
      </c>
      <c r="I2582" s="5" t="s">
        <v>6138</v>
      </c>
      <c r="J2582" s="12" t="str">
        <f>HYPERLINK("https://www.boe.es/gazeta/dias/1807/07/10/pdfs/GMD-1807-59.pdf#page=8","Abrir facsímil")</f>
        <v>Abrir facsímil</v>
      </c>
      <c r="K2582" s="15" t="s">
        <v>22</v>
      </c>
    </row>
    <row r="2583" spans="1:11" ht="42" customHeight="1">
      <c r="A2583" s="4" t="s">
        <v>6139</v>
      </c>
      <c r="B2583" s="5" t="s">
        <v>6139</v>
      </c>
      <c r="C2583" s="5" t="s">
        <v>34</v>
      </c>
      <c r="D2583" s="5" t="s">
        <v>35</v>
      </c>
      <c r="E2583" s="5" t="s">
        <v>581</v>
      </c>
      <c r="F2583" s="9">
        <v>71</v>
      </c>
      <c r="G2583" s="9">
        <v>817</v>
      </c>
      <c r="H2583" s="5" t="s">
        <v>20</v>
      </c>
      <c r="I2583" s="5" t="s">
        <v>6140</v>
      </c>
      <c r="J2583" s="12" t="str">
        <f>HYPERLINK("https://www.boe.es/gazeta/dias/1807/08/07/pdfs/GMD-1807-71.pdf#page=9","Abrir facsímil")</f>
        <v>Abrir facsímil</v>
      </c>
      <c r="K2583" s="15" t="s">
        <v>22</v>
      </c>
    </row>
    <row r="2584" spans="1:11" ht="42" customHeight="1">
      <c r="A2584" s="4" t="s">
        <v>6141</v>
      </c>
      <c r="B2584" s="5" t="s">
        <v>6141</v>
      </c>
      <c r="C2584" s="5" t="s">
        <v>34</v>
      </c>
      <c r="D2584" s="5" t="s">
        <v>35</v>
      </c>
      <c r="E2584" s="5" t="s">
        <v>266</v>
      </c>
      <c r="F2584" s="9">
        <v>67</v>
      </c>
      <c r="G2584" s="9">
        <v>773</v>
      </c>
      <c r="H2584" s="5" t="s">
        <v>20</v>
      </c>
      <c r="I2584" s="5" t="s">
        <v>6142</v>
      </c>
      <c r="J2584" s="12" t="str">
        <f>HYPERLINK("https://www.boe.es/gazeta/dias/1807/07/28/pdfs/GMD-1807-67.pdf#page=9","Abrir facsímil")</f>
        <v>Abrir facsímil</v>
      </c>
      <c r="K2584" s="15" t="s">
        <v>22</v>
      </c>
    </row>
    <row r="2585" spans="1:11" ht="42" customHeight="1">
      <c r="A2585" s="4" t="s">
        <v>6141</v>
      </c>
      <c r="B2585" s="5" t="s">
        <v>6141</v>
      </c>
      <c r="C2585" s="5" t="s">
        <v>34</v>
      </c>
      <c r="D2585" s="5" t="s">
        <v>35</v>
      </c>
      <c r="E2585" s="5" t="s">
        <v>62</v>
      </c>
      <c r="F2585" s="9">
        <v>68</v>
      </c>
      <c r="G2585" s="9">
        <v>784</v>
      </c>
      <c r="H2585" s="5" t="s">
        <v>20</v>
      </c>
      <c r="I2585" s="5" t="s">
        <v>6143</v>
      </c>
      <c r="J2585" s="12" t="str">
        <f>HYPERLINK("https://www.boe.es/gazeta/dias/1807/07/31/pdfs/GMD-1807-68.pdf#page=8","Abrir facsímil")</f>
        <v>Abrir facsímil</v>
      </c>
      <c r="K2585" s="15" t="s">
        <v>22</v>
      </c>
    </row>
    <row r="2586" spans="1:11" ht="42" customHeight="1">
      <c r="A2586" s="4" t="s">
        <v>6144</v>
      </c>
      <c r="B2586" s="5" t="s">
        <v>6144</v>
      </c>
      <c r="C2586" s="5" t="s">
        <v>34</v>
      </c>
      <c r="D2586" s="5" t="s">
        <v>35</v>
      </c>
      <c r="E2586" s="5" t="s">
        <v>19</v>
      </c>
      <c r="F2586" s="9">
        <v>41</v>
      </c>
      <c r="G2586" s="9">
        <v>489</v>
      </c>
      <c r="H2586" s="5" t="s">
        <v>20</v>
      </c>
      <c r="I2586" s="5" t="s">
        <v>6145</v>
      </c>
      <c r="J2586" s="12" t="str">
        <f>HYPERLINK("https://www.boe.es/gazeta/dias/1807/05/12/pdfs/GMD-1807-41.pdf#page=7","Abrir facsímil")</f>
        <v>Abrir facsímil</v>
      </c>
      <c r="K2586" s="15" t="s">
        <v>22</v>
      </c>
    </row>
    <row r="2587" spans="1:11" ht="42" customHeight="1">
      <c r="A2587" s="4" t="s">
        <v>6146</v>
      </c>
      <c r="B2587" s="5" t="s">
        <v>6146</v>
      </c>
      <c r="C2587" s="5" t="s">
        <v>34</v>
      </c>
      <c r="D2587" s="5" t="s">
        <v>35</v>
      </c>
      <c r="E2587" s="5" t="s">
        <v>376</v>
      </c>
      <c r="F2587" s="9">
        <v>19</v>
      </c>
      <c r="G2587" s="9">
        <v>225</v>
      </c>
      <c r="H2587" s="5" t="s">
        <v>20</v>
      </c>
      <c r="I2587" s="5" t="s">
        <v>6147</v>
      </c>
      <c r="J2587" s="12" t="str">
        <f>HYPERLINK("https://www.boe.es/gazeta/dias/1807/02/27/pdfs/GMD-1807-19.pdf#page=9","Abrir facsímil")</f>
        <v>Abrir facsímil</v>
      </c>
      <c r="K2587" s="15" t="s">
        <v>22</v>
      </c>
    </row>
    <row r="2588" spans="1:11" ht="42" customHeight="1">
      <c r="A2588" s="4" t="s">
        <v>6148</v>
      </c>
      <c r="B2588" s="5" t="s">
        <v>6148</v>
      </c>
      <c r="C2588" s="5" t="s">
        <v>28</v>
      </c>
      <c r="D2588" s="5" t="s">
        <v>29</v>
      </c>
      <c r="E2588" s="5" t="s">
        <v>561</v>
      </c>
      <c r="F2588" s="9">
        <v>44</v>
      </c>
      <c r="G2588" s="9">
        <v>524</v>
      </c>
      <c r="H2588" s="5" t="s">
        <v>20</v>
      </c>
      <c r="I2588" s="5" t="s">
        <v>6149</v>
      </c>
      <c r="J2588" s="12" t="str">
        <f>HYPERLINK("https://www.boe.es/gazeta/dias/1807/05/22/pdfs/GMD-1807-44.pdf#page=6","Abrir facsímil")</f>
        <v>Abrir facsímil</v>
      </c>
      <c r="K2588" s="15" t="s">
        <v>22</v>
      </c>
    </row>
    <row r="2589" spans="1:11" ht="42" customHeight="1">
      <c r="A2589" s="4" t="s">
        <v>6150</v>
      </c>
      <c r="B2589" s="5" t="s">
        <v>6150</v>
      </c>
      <c r="C2589" s="5" t="s">
        <v>34</v>
      </c>
      <c r="D2589" s="5" t="s">
        <v>35</v>
      </c>
      <c r="E2589" s="5" t="s">
        <v>76</v>
      </c>
      <c r="F2589" s="9">
        <v>7</v>
      </c>
      <c r="G2589" s="9">
        <v>78</v>
      </c>
      <c r="H2589" s="5" t="s">
        <v>20</v>
      </c>
      <c r="I2589" s="5" t="s">
        <v>6151</v>
      </c>
      <c r="J2589" s="12" t="str">
        <f>HYPERLINK("https://www.boe.es/gazeta/dias/1807/01/20/pdfs/GMD-1807-7.pdf#page=10","Abrir facsímil")</f>
        <v>Abrir facsímil</v>
      </c>
      <c r="K2589" s="15" t="s">
        <v>22</v>
      </c>
    </row>
    <row r="2590" spans="1:11" ht="42" customHeight="1">
      <c r="A2590" s="4" t="s">
        <v>6152</v>
      </c>
      <c r="B2590" s="5" t="s">
        <v>6152</v>
      </c>
      <c r="C2590" s="5" t="s">
        <v>34</v>
      </c>
      <c r="D2590" s="5" t="s">
        <v>35</v>
      </c>
      <c r="E2590" s="5" t="s">
        <v>208</v>
      </c>
      <c r="F2590" s="9">
        <v>42</v>
      </c>
      <c r="G2590" s="9">
        <v>504</v>
      </c>
      <c r="H2590" s="5" t="s">
        <v>20</v>
      </c>
      <c r="I2590" s="5" t="s">
        <v>6153</v>
      </c>
      <c r="J2590" s="12" t="str">
        <f>HYPERLINK("https://www.boe.es/gazeta/dias/1807/05/15/pdfs/GMD-1807-42.pdf#page=10","Abrir facsímil")</f>
        <v>Abrir facsímil</v>
      </c>
      <c r="K2590" s="15" t="s">
        <v>22</v>
      </c>
    </row>
    <row r="2591" spans="1:11" ht="42" customHeight="1">
      <c r="A2591" s="4" t="s">
        <v>6152</v>
      </c>
      <c r="B2591" s="5" t="s">
        <v>6152</v>
      </c>
      <c r="C2591" s="5" t="s">
        <v>24</v>
      </c>
      <c r="D2591" s="5" t="s">
        <v>18</v>
      </c>
      <c r="E2591" s="5" t="s">
        <v>46</v>
      </c>
      <c r="F2591" s="9">
        <v>78</v>
      </c>
      <c r="G2591" s="9">
        <v>906</v>
      </c>
      <c r="H2591" s="5" t="s">
        <v>20</v>
      </c>
      <c r="I2591" s="5" t="s">
        <v>6154</v>
      </c>
      <c r="J2591" s="12" t="str">
        <f>HYPERLINK("https://www.boe.es/gazeta/dias/1807/09/01/pdfs/GMD-1807-78.pdf#page=10","Abrir facsímil")</f>
        <v>Abrir facsímil</v>
      </c>
      <c r="K2591" s="15" t="s">
        <v>22</v>
      </c>
    </row>
    <row r="2592" spans="1:11" ht="42" customHeight="1">
      <c r="A2592" s="4" t="s">
        <v>6155</v>
      </c>
      <c r="B2592" s="5" t="s">
        <v>6156</v>
      </c>
      <c r="C2592" s="5" t="s">
        <v>34</v>
      </c>
      <c r="D2592" s="5" t="s">
        <v>35</v>
      </c>
      <c r="E2592" s="5" t="s">
        <v>245</v>
      </c>
      <c r="F2592" s="9">
        <v>97</v>
      </c>
      <c r="G2592" s="9">
        <v>1128</v>
      </c>
      <c r="H2592" s="5" t="s">
        <v>20</v>
      </c>
      <c r="I2592" s="5" t="s">
        <v>6157</v>
      </c>
      <c r="J2592" s="12" t="str">
        <f>HYPERLINK("https://www.boe.es/gazeta/dias/1807/10/30/pdfs/GMD-1807-97.pdf#page=8","Abrir facsímil")</f>
        <v>Abrir facsímil</v>
      </c>
      <c r="K2592" s="15" t="s">
        <v>22</v>
      </c>
    </row>
    <row r="2593" spans="1:11" ht="42" customHeight="1">
      <c r="A2593" s="4" t="s">
        <v>6158</v>
      </c>
      <c r="B2593" s="5" t="s">
        <v>6158</v>
      </c>
      <c r="C2593" s="5" t="s">
        <v>28</v>
      </c>
      <c r="D2593" s="5" t="s">
        <v>29</v>
      </c>
      <c r="E2593" s="5" t="s">
        <v>498</v>
      </c>
      <c r="F2593" s="9">
        <v>32</v>
      </c>
      <c r="G2593" s="9">
        <v>380</v>
      </c>
      <c r="H2593" s="5" t="s">
        <v>20</v>
      </c>
      <c r="I2593" s="5" t="s">
        <v>6159</v>
      </c>
      <c r="J2593" s="12" t="str">
        <f>HYPERLINK("https://www.boe.es/gazeta/dias/1807/04/10/pdfs/GMD-1807-32.pdf#page=8","Abrir facsímil")</f>
        <v>Abrir facsímil</v>
      </c>
      <c r="K2593" s="15" t="s">
        <v>22</v>
      </c>
    </row>
    <row r="2594" spans="1:11" ht="42" customHeight="1">
      <c r="A2594" s="4" t="s">
        <v>6160</v>
      </c>
      <c r="B2594" s="5" t="s">
        <v>6161</v>
      </c>
      <c r="C2594" s="5" t="s">
        <v>17</v>
      </c>
      <c r="D2594" s="5" t="s">
        <v>18</v>
      </c>
      <c r="E2594" s="5" t="s">
        <v>123</v>
      </c>
      <c r="F2594" s="9">
        <v>70</v>
      </c>
      <c r="G2594" s="9">
        <v>806</v>
      </c>
      <c r="H2594" s="5" t="s">
        <v>20</v>
      </c>
      <c r="I2594" s="5" t="s">
        <v>6162</v>
      </c>
      <c r="J2594" s="12" t="str">
        <f>HYPERLINK("https://www.boe.es/gazeta/dias/1807/08/04/pdfs/GMD-1807-70.pdf#page=10","Abrir facsímil")</f>
        <v>Abrir facsímil</v>
      </c>
      <c r="K2594" s="15" t="s">
        <v>22</v>
      </c>
    </row>
    <row r="2595" spans="1:11" ht="42" customHeight="1">
      <c r="A2595" s="4" t="s">
        <v>6163</v>
      </c>
      <c r="B2595" s="5" t="s">
        <v>6163</v>
      </c>
      <c r="C2595" s="5" t="s">
        <v>34</v>
      </c>
      <c r="D2595" s="5" t="s">
        <v>35</v>
      </c>
      <c r="E2595" s="5" t="s">
        <v>319</v>
      </c>
      <c r="F2595" s="9">
        <v>54</v>
      </c>
      <c r="G2595" s="9">
        <v>645</v>
      </c>
      <c r="H2595" s="5" t="s">
        <v>20</v>
      </c>
      <c r="I2595" s="5" t="s">
        <v>6164</v>
      </c>
      <c r="J2595" s="12" t="str">
        <f>HYPERLINK("https://www.boe.es/gazeta/dias/1807/06/26/pdfs/GMD-1807-54.pdf#page=7","Abrir facsímil")</f>
        <v>Abrir facsímil</v>
      </c>
      <c r="K2595" s="15" t="s">
        <v>22</v>
      </c>
    </row>
    <row r="2596" spans="1:11" ht="42" customHeight="1">
      <c r="A2596" s="4" t="s">
        <v>6165</v>
      </c>
      <c r="B2596" s="5" t="s">
        <v>6166</v>
      </c>
      <c r="C2596" s="5" t="s">
        <v>28</v>
      </c>
      <c r="D2596" s="5" t="s">
        <v>29</v>
      </c>
      <c r="E2596" s="5" t="s">
        <v>215</v>
      </c>
      <c r="F2596" s="9">
        <v>5</v>
      </c>
      <c r="G2596" s="9">
        <v>55</v>
      </c>
      <c r="H2596" s="5" t="s">
        <v>20</v>
      </c>
      <c r="I2596" s="5" t="s">
        <v>6167</v>
      </c>
      <c r="J2596" s="12" t="str">
        <f>HYPERLINK("https://www.boe.es/gazeta/dias/1807/01/16/pdfs/GMD-1807-5.pdf#page=11","Abrir facsímil")</f>
        <v>Abrir facsímil</v>
      </c>
      <c r="K2596" s="15" t="s">
        <v>22</v>
      </c>
    </row>
    <row r="2597" spans="1:11" ht="42" customHeight="1">
      <c r="A2597" s="4" t="s">
        <v>6168</v>
      </c>
      <c r="B2597" s="5" t="s">
        <v>6169</v>
      </c>
      <c r="C2597" s="5" t="s">
        <v>89</v>
      </c>
      <c r="D2597" s="5" t="s">
        <v>90</v>
      </c>
      <c r="E2597" s="5" t="s">
        <v>654</v>
      </c>
      <c r="F2597" s="9">
        <v>94</v>
      </c>
      <c r="G2597" s="9">
        <v>1096</v>
      </c>
      <c r="H2597" s="5" t="s">
        <v>20</v>
      </c>
      <c r="I2597" s="5" t="s">
        <v>6170</v>
      </c>
      <c r="J2597" s="12" t="str">
        <f>HYPERLINK("https://www.boe.es/gazeta/dias/1807/10/20/pdfs/GMD-1807-94.pdf#page=12","Abrir facsímil")</f>
        <v>Abrir facsímil</v>
      </c>
      <c r="K2597" s="15" t="s">
        <v>22</v>
      </c>
    </row>
    <row r="2598" spans="1:11" ht="42" customHeight="1">
      <c r="A2598" s="4" t="s">
        <v>6171</v>
      </c>
      <c r="B2598" s="5" t="s">
        <v>6171</v>
      </c>
      <c r="C2598" s="5" t="s">
        <v>17</v>
      </c>
      <c r="D2598" s="5" t="s">
        <v>18</v>
      </c>
      <c r="E2598" s="5" t="s">
        <v>19</v>
      </c>
      <c r="F2598" s="9">
        <v>41</v>
      </c>
      <c r="G2598" s="9">
        <v>492</v>
      </c>
      <c r="H2598" s="5" t="s">
        <v>20</v>
      </c>
      <c r="I2598" s="5" t="s">
        <v>6172</v>
      </c>
      <c r="J2598" s="12" t="str">
        <f>HYPERLINK("https://www.boe.es/gazeta/dias/1807/05/12/pdfs/GMD-1807-41.pdf#page=10","Abrir facsímil")</f>
        <v>Abrir facsímil</v>
      </c>
      <c r="K2598" s="15" t="s">
        <v>22</v>
      </c>
    </row>
    <row r="2599" spans="1:11" ht="42" customHeight="1">
      <c r="A2599" s="4" t="s">
        <v>6173</v>
      </c>
      <c r="B2599" s="5" t="s">
        <v>6173</v>
      </c>
      <c r="C2599" s="5" t="s">
        <v>34</v>
      </c>
      <c r="D2599" s="5" t="s">
        <v>35</v>
      </c>
      <c r="E2599" s="5" t="s">
        <v>471</v>
      </c>
      <c r="F2599" s="9">
        <v>51</v>
      </c>
      <c r="G2599" s="9">
        <v>606</v>
      </c>
      <c r="H2599" s="5" t="s">
        <v>20</v>
      </c>
      <c r="I2599" s="5" t="s">
        <v>6174</v>
      </c>
      <c r="J2599" s="12" t="str">
        <f>HYPERLINK("https://www.boe.es/gazeta/dias/1807/06/16/pdfs/GMD-1807-51.pdf#page=8","Abrir facsímil")</f>
        <v>Abrir facsímil</v>
      </c>
      <c r="K2599" s="15" t="s">
        <v>22</v>
      </c>
    </row>
    <row r="2600" spans="1:11" ht="42" customHeight="1">
      <c r="A2600" s="4" t="s">
        <v>6175</v>
      </c>
      <c r="B2600" s="5" t="s">
        <v>6175</v>
      </c>
      <c r="C2600" s="5" t="s">
        <v>34</v>
      </c>
      <c r="D2600" s="5" t="s">
        <v>35</v>
      </c>
      <c r="E2600" s="5" t="s">
        <v>156</v>
      </c>
      <c r="F2600" s="9">
        <v>74</v>
      </c>
      <c r="G2600" s="9">
        <v>855</v>
      </c>
      <c r="H2600" s="5" t="s">
        <v>20</v>
      </c>
      <c r="I2600" s="5" t="s">
        <v>6176</v>
      </c>
      <c r="J2600" s="12" t="str">
        <f>HYPERLINK("https://www.boe.es/gazeta/dias/1807/08/18/pdfs/GMD-1807-74.pdf#page=7","Abrir facsímil")</f>
        <v>Abrir facsímil</v>
      </c>
      <c r="K2600" s="15" t="s">
        <v>22</v>
      </c>
    </row>
    <row r="2601" spans="1:11" ht="42" customHeight="1">
      <c r="A2601" s="4" t="s">
        <v>6177</v>
      </c>
      <c r="B2601" s="5" t="s">
        <v>6177</v>
      </c>
      <c r="C2601" s="5" t="s">
        <v>28</v>
      </c>
      <c r="D2601" s="5" t="s">
        <v>29</v>
      </c>
      <c r="E2601" s="5" t="s">
        <v>426</v>
      </c>
      <c r="F2601" s="9">
        <v>93</v>
      </c>
      <c r="G2601" s="9">
        <v>1082</v>
      </c>
      <c r="H2601" s="5" t="s">
        <v>20</v>
      </c>
      <c r="I2601" s="5" t="s">
        <v>6178</v>
      </c>
      <c r="J2601" s="12" t="str">
        <f>HYPERLINK("https://www.boe.es/gazeta/dias/1807/10/16/pdfs/GMD-1807-93.pdf#page=10","Abrir facsímil")</f>
        <v>Abrir facsímil</v>
      </c>
      <c r="K2601" s="15" t="s">
        <v>22</v>
      </c>
    </row>
    <row r="2602" spans="1:11" ht="42" customHeight="1">
      <c r="A2602" s="4" t="s">
        <v>6179</v>
      </c>
      <c r="B2602" s="5" t="s">
        <v>6179</v>
      </c>
      <c r="C2602" s="5" t="s">
        <v>17</v>
      </c>
      <c r="D2602" s="5" t="s">
        <v>18</v>
      </c>
      <c r="E2602" s="5" t="s">
        <v>221</v>
      </c>
      <c r="F2602" s="9">
        <v>73</v>
      </c>
      <c r="G2602" s="9">
        <v>846</v>
      </c>
      <c r="H2602" s="5" t="s">
        <v>20</v>
      </c>
      <c r="I2602" s="5" t="s">
        <v>6180</v>
      </c>
      <c r="J2602" s="12" t="str">
        <f>HYPERLINK("https://www.boe.es/gazeta/dias/1807/08/14/pdfs/GMD-1807-73.pdf#page=10","Abrir facsímil")</f>
        <v>Abrir facsímil</v>
      </c>
      <c r="K2602" s="15" t="s">
        <v>22</v>
      </c>
    </row>
    <row r="2603" spans="1:11" ht="42" customHeight="1">
      <c r="A2603" s="4" t="s">
        <v>6181</v>
      </c>
      <c r="B2603" s="5" t="s">
        <v>6182</v>
      </c>
      <c r="C2603" s="5" t="s">
        <v>34</v>
      </c>
      <c r="D2603" s="5" t="s">
        <v>35</v>
      </c>
      <c r="E2603" s="5" t="s">
        <v>65</v>
      </c>
      <c r="F2603" s="9">
        <v>52</v>
      </c>
      <c r="G2603" s="9">
        <v>622</v>
      </c>
      <c r="H2603" s="5" t="s">
        <v>20</v>
      </c>
      <c r="I2603" s="5" t="s">
        <v>6183</v>
      </c>
      <c r="J2603" s="12" t="str">
        <f>HYPERLINK("https://www.boe.es/gazeta/dias/1807/06/19/pdfs/GMD-1807-52.pdf#page=12","Abrir facsímil")</f>
        <v>Abrir facsímil</v>
      </c>
      <c r="K2603" s="15" t="s">
        <v>22</v>
      </c>
    </row>
    <row r="2604" spans="1:11" ht="42" customHeight="1">
      <c r="A2604" s="4" t="s">
        <v>6184</v>
      </c>
      <c r="B2604" s="5" t="s">
        <v>6184</v>
      </c>
      <c r="C2604" s="5" t="s">
        <v>28</v>
      </c>
      <c r="D2604" s="5" t="s">
        <v>29</v>
      </c>
      <c r="E2604" s="5" t="s">
        <v>620</v>
      </c>
      <c r="F2604" s="9">
        <v>84</v>
      </c>
      <c r="G2604" s="9">
        <v>983</v>
      </c>
      <c r="H2604" s="5" t="s">
        <v>20</v>
      </c>
      <c r="I2604" s="5" t="s">
        <v>6185</v>
      </c>
      <c r="J2604" s="12" t="str">
        <f>HYPERLINK("https://www.boe.es/gazeta/dias/1807/09/22/pdfs/GMD-1807-84.pdf#page=11","Abrir facsímil")</f>
        <v>Abrir facsímil</v>
      </c>
      <c r="K2604" s="15" t="s">
        <v>22</v>
      </c>
    </row>
    <row r="2605" spans="1:11" ht="42" customHeight="1">
      <c r="A2605" s="4" t="s">
        <v>6186</v>
      </c>
      <c r="B2605" s="5" t="s">
        <v>6186</v>
      </c>
      <c r="C2605" s="5" t="s">
        <v>24</v>
      </c>
      <c r="D2605" s="5" t="s">
        <v>18</v>
      </c>
      <c r="E2605" s="5" t="s">
        <v>754</v>
      </c>
      <c r="F2605" s="9">
        <v>103</v>
      </c>
      <c r="G2605" s="9">
        <v>1204</v>
      </c>
      <c r="H2605" s="5" t="s">
        <v>20</v>
      </c>
      <c r="I2605" s="5" t="s">
        <v>6187</v>
      </c>
      <c r="J2605" s="12" t="str">
        <f>HYPERLINK("https://www.boe.es/gazeta/dias/1807/11/20/pdfs/GMD-1807-103.pdf#page=12","Abrir facsímil")</f>
        <v>Abrir facsímil</v>
      </c>
      <c r="K2605" s="15" t="s">
        <v>22</v>
      </c>
    </row>
    <row r="2606" spans="1:11" ht="42" customHeight="1">
      <c r="A2606" s="4" t="s">
        <v>6188</v>
      </c>
      <c r="B2606" s="5" t="s">
        <v>6188</v>
      </c>
      <c r="C2606" s="5" t="s">
        <v>24</v>
      </c>
      <c r="D2606" s="5" t="s">
        <v>18</v>
      </c>
      <c r="E2606" s="5" t="s">
        <v>81</v>
      </c>
      <c r="F2606" s="9">
        <v>49</v>
      </c>
      <c r="G2606" s="9">
        <v>585</v>
      </c>
      <c r="H2606" s="5" t="s">
        <v>20</v>
      </c>
      <c r="I2606" s="5" t="s">
        <v>6189</v>
      </c>
      <c r="J2606" s="12" t="str">
        <f>HYPERLINK("https://www.boe.es/gazeta/dias/1807/06/09/pdfs/GMD-1807-49.pdf#page=11","Abrir facsímil")</f>
        <v>Abrir facsímil</v>
      </c>
      <c r="K2606" s="15" t="s">
        <v>22</v>
      </c>
    </row>
    <row r="2607" spans="1:11" ht="42" customHeight="1">
      <c r="A2607" s="4" t="s">
        <v>6190</v>
      </c>
      <c r="B2607" s="5" t="s">
        <v>6191</v>
      </c>
      <c r="C2607" s="5" t="s">
        <v>34</v>
      </c>
      <c r="D2607" s="5" t="s">
        <v>35</v>
      </c>
      <c r="E2607" s="5" t="s">
        <v>30</v>
      </c>
      <c r="F2607" s="9">
        <v>13</v>
      </c>
      <c r="G2607" s="9">
        <v>149</v>
      </c>
      <c r="H2607" s="5" t="s">
        <v>20</v>
      </c>
      <c r="I2607" s="5" t="s">
        <v>6192</v>
      </c>
      <c r="J2607" s="12" t="str">
        <f>HYPERLINK("https://www.boe.es/gazeta/dias/1807/02/06/pdfs/GMD-1807-13.pdf#page=9","Abrir facsímil")</f>
        <v>Abrir facsímil</v>
      </c>
      <c r="K2607" s="15" t="s">
        <v>22</v>
      </c>
    </row>
    <row r="2608" spans="1:11" ht="42" customHeight="1">
      <c r="A2608" s="4" t="s">
        <v>6193</v>
      </c>
      <c r="B2608" s="5" t="s">
        <v>6193</v>
      </c>
      <c r="C2608" s="5" t="s">
        <v>34</v>
      </c>
      <c r="D2608" s="5" t="s">
        <v>35</v>
      </c>
      <c r="E2608" s="5" t="s">
        <v>595</v>
      </c>
      <c r="F2608" s="9">
        <v>59</v>
      </c>
      <c r="G2608" s="9">
        <v>702</v>
      </c>
      <c r="H2608" s="5" t="s">
        <v>20</v>
      </c>
      <c r="I2608" s="5" t="s">
        <v>6194</v>
      </c>
      <c r="J2608" s="12" t="str">
        <f>HYPERLINK("https://www.boe.es/gazeta/dias/1807/07/10/pdfs/GMD-1807-59.pdf#page=8","Abrir facsímil")</f>
        <v>Abrir facsímil</v>
      </c>
      <c r="K2608" s="15" t="s">
        <v>22</v>
      </c>
    </row>
    <row r="2609" spans="1:11" ht="42" customHeight="1">
      <c r="A2609" s="4" t="s">
        <v>6195</v>
      </c>
      <c r="B2609" s="5" t="s">
        <v>6195</v>
      </c>
      <c r="C2609" s="5" t="s">
        <v>252</v>
      </c>
      <c r="D2609" s="5" t="s">
        <v>253</v>
      </c>
      <c r="E2609" s="5" t="s">
        <v>314</v>
      </c>
      <c r="F2609" s="9" t="s">
        <v>315</v>
      </c>
      <c r="G2609" s="9">
        <v>1221</v>
      </c>
      <c r="H2609" s="5" t="s">
        <v>20</v>
      </c>
      <c r="I2609" s="5" t="s">
        <v>6196</v>
      </c>
      <c r="J2609" s="12" t="str">
        <f>HYPERLINK("https://www.boe.es/gazeta/dias/1807/11/26/pdfs/GMD-1807-105E.pdf#page=5","Abrir facsímil")</f>
        <v>Abrir facsímil</v>
      </c>
      <c r="K2609" s="15" t="s">
        <v>22</v>
      </c>
    </row>
    <row r="2610" spans="1:11" ht="42" customHeight="1">
      <c r="A2610" s="4" t="s">
        <v>6197</v>
      </c>
      <c r="B2610" s="5" t="s">
        <v>6197</v>
      </c>
      <c r="C2610" s="5" t="s">
        <v>34</v>
      </c>
      <c r="D2610" s="5" t="s">
        <v>35</v>
      </c>
      <c r="E2610" s="5" t="s">
        <v>321</v>
      </c>
      <c r="F2610" s="9">
        <v>75</v>
      </c>
      <c r="G2610" s="9">
        <v>867</v>
      </c>
      <c r="H2610" s="5" t="s">
        <v>20</v>
      </c>
      <c r="I2610" s="5" t="s">
        <v>6198</v>
      </c>
      <c r="J2610" s="12" t="str">
        <f>HYPERLINK("https://www.boe.es/gazeta/dias/1807/08/21/pdfs/GMD-1807-75.pdf#page=7","Abrir facsímil")</f>
        <v>Abrir facsímil</v>
      </c>
      <c r="K2610" s="15" t="s">
        <v>22</v>
      </c>
    </row>
    <row r="2611" spans="1:11" ht="42" customHeight="1">
      <c r="A2611" s="4" t="s">
        <v>6199</v>
      </c>
      <c r="B2611" s="5" t="s">
        <v>6200</v>
      </c>
      <c r="C2611" s="5" t="s">
        <v>28</v>
      </c>
      <c r="D2611" s="5" t="s">
        <v>29</v>
      </c>
      <c r="E2611" s="5" t="s">
        <v>221</v>
      </c>
      <c r="F2611" s="9">
        <v>73</v>
      </c>
      <c r="G2611" s="9">
        <v>844</v>
      </c>
      <c r="H2611" s="5" t="s">
        <v>20</v>
      </c>
      <c r="I2611" s="5" t="s">
        <v>6201</v>
      </c>
      <c r="J2611" s="12" t="str">
        <f>HYPERLINK("https://www.boe.es/gazeta/dias/1807/08/14/pdfs/GMD-1807-73.pdf#page=8","Abrir facsímil")</f>
        <v>Abrir facsímil</v>
      </c>
      <c r="K2611" s="15" t="s">
        <v>22</v>
      </c>
    </row>
    <row r="2612" spans="1:11" ht="42" customHeight="1">
      <c r="A2612" s="4" t="s">
        <v>6202</v>
      </c>
      <c r="B2612" s="5" t="s">
        <v>6202</v>
      </c>
      <c r="C2612" s="5" t="s">
        <v>34</v>
      </c>
      <c r="D2612" s="5" t="s">
        <v>35</v>
      </c>
      <c r="E2612" s="5" t="s">
        <v>186</v>
      </c>
      <c r="F2612" s="9">
        <v>72</v>
      </c>
      <c r="G2612" s="9">
        <v>829</v>
      </c>
      <c r="H2612" s="5" t="s">
        <v>20</v>
      </c>
      <c r="I2612" s="5" t="s">
        <v>6203</v>
      </c>
      <c r="J2612" s="12" t="str">
        <f>HYPERLINK("https://www.boe.es/gazeta/dias/1807/08/11/pdfs/GMD-1807-72.pdf#page=9","Abrir facsímil")</f>
        <v>Abrir facsímil</v>
      </c>
      <c r="K2612" s="15" t="s">
        <v>22</v>
      </c>
    </row>
    <row r="2613" spans="1:11" ht="42" customHeight="1">
      <c r="A2613" s="4" t="s">
        <v>6204</v>
      </c>
      <c r="B2613" s="5" t="s">
        <v>6204</v>
      </c>
      <c r="C2613" s="5" t="s">
        <v>28</v>
      </c>
      <c r="D2613" s="5" t="s">
        <v>29</v>
      </c>
      <c r="E2613" s="5" t="s">
        <v>139</v>
      </c>
      <c r="F2613" s="9">
        <v>110</v>
      </c>
      <c r="G2613" s="9">
        <v>1287</v>
      </c>
      <c r="H2613" s="5" t="s">
        <v>20</v>
      </c>
      <c r="I2613" s="5" t="s">
        <v>6205</v>
      </c>
      <c r="J2613" s="12" t="str">
        <f>HYPERLINK("https://www.boe.es/gazeta/dias/1807/12/11/pdfs/GMD-1807-110.pdf#page=11","Abrir facsímil")</f>
        <v>Abrir facsímil</v>
      </c>
      <c r="K2613" s="15" t="s">
        <v>22</v>
      </c>
    </row>
    <row r="2614" spans="1:11" ht="42" customHeight="1">
      <c r="A2614" s="4" t="s">
        <v>6206</v>
      </c>
      <c r="B2614" s="5" t="s">
        <v>6206</v>
      </c>
      <c r="C2614" s="5" t="s">
        <v>28</v>
      </c>
      <c r="D2614" s="5" t="s">
        <v>29</v>
      </c>
      <c r="E2614" s="5" t="s">
        <v>507</v>
      </c>
      <c r="F2614" s="9">
        <v>48</v>
      </c>
      <c r="G2614" s="9">
        <v>570</v>
      </c>
      <c r="H2614" s="5" t="s">
        <v>20</v>
      </c>
      <c r="I2614" s="5" t="s">
        <v>6207</v>
      </c>
      <c r="J2614" s="12" t="str">
        <f>HYPERLINK("https://www.boe.es/gazeta/dias/1807/06/05/pdfs/GMD-1807-48.pdf#page=8","Abrir facsímil")</f>
        <v>Abrir facsímil</v>
      </c>
      <c r="K2614" s="15" t="s">
        <v>22</v>
      </c>
    </row>
    <row r="2615" spans="1:11" ht="42" customHeight="1">
      <c r="A2615" s="4" t="s">
        <v>6208</v>
      </c>
      <c r="B2615" s="5" t="s">
        <v>6208</v>
      </c>
      <c r="C2615" s="5" t="s">
        <v>28</v>
      </c>
      <c r="D2615" s="5" t="s">
        <v>29</v>
      </c>
      <c r="E2615" s="5" t="s">
        <v>208</v>
      </c>
      <c r="F2615" s="9">
        <v>42</v>
      </c>
      <c r="G2615" s="9">
        <v>505</v>
      </c>
      <c r="H2615" s="5" t="s">
        <v>20</v>
      </c>
      <c r="I2615" s="5" t="s">
        <v>6209</v>
      </c>
      <c r="J2615" s="12" t="str">
        <f>HYPERLINK("https://www.boe.es/gazeta/dias/1807/05/15/pdfs/GMD-1807-42.pdf#page=11","Abrir facsímil")</f>
        <v>Abrir facsímil</v>
      </c>
      <c r="K2615" s="15" t="s">
        <v>22</v>
      </c>
    </row>
    <row r="2616" spans="1:11" ht="42" customHeight="1">
      <c r="A2616" s="4" t="s">
        <v>6210</v>
      </c>
      <c r="B2616" s="5" t="s">
        <v>6210</v>
      </c>
      <c r="C2616" s="5" t="s">
        <v>28</v>
      </c>
      <c r="D2616" s="5" t="s">
        <v>29</v>
      </c>
      <c r="E2616" s="5" t="s">
        <v>51</v>
      </c>
      <c r="F2616" s="9">
        <v>62</v>
      </c>
      <c r="G2616" s="9">
        <v>732</v>
      </c>
      <c r="H2616" s="5" t="s">
        <v>20</v>
      </c>
      <c r="I2616" s="5" t="s">
        <v>6211</v>
      </c>
      <c r="J2616" s="12" t="str">
        <f>HYPERLINK("https://www.boe.es/gazeta/dias/1807/07/17/pdfs/GMD-1807-62.pdf#page=6","Abrir facsímil")</f>
        <v>Abrir facsímil</v>
      </c>
      <c r="K2616" s="15" t="s">
        <v>22</v>
      </c>
    </row>
    <row r="2617" spans="1:11" ht="42" customHeight="1">
      <c r="A2617" s="4" t="s">
        <v>6212</v>
      </c>
      <c r="B2617" s="5" t="s">
        <v>6212</v>
      </c>
      <c r="C2617" s="5" t="s">
        <v>89</v>
      </c>
      <c r="D2617" s="5" t="s">
        <v>90</v>
      </c>
      <c r="E2617" s="5" t="s">
        <v>581</v>
      </c>
      <c r="F2617" s="9">
        <v>71</v>
      </c>
      <c r="G2617" s="9">
        <v>818</v>
      </c>
      <c r="H2617" s="5" t="s">
        <v>20</v>
      </c>
      <c r="I2617" s="5" t="s">
        <v>6213</v>
      </c>
      <c r="J2617" s="12" t="str">
        <f>HYPERLINK("https://www.boe.es/gazeta/dias/1807/08/07/pdfs/GMD-1807-71.pdf#page=10","Abrir facsímil")</f>
        <v>Abrir facsímil</v>
      </c>
      <c r="K2617" s="15" t="s">
        <v>22</v>
      </c>
    </row>
    <row r="2618" spans="1:11" ht="42" customHeight="1">
      <c r="A2618" s="4" t="s">
        <v>6212</v>
      </c>
      <c r="B2618" s="5" t="s">
        <v>6212</v>
      </c>
      <c r="C2618" s="5" t="s">
        <v>28</v>
      </c>
      <c r="D2618" s="5" t="s">
        <v>29</v>
      </c>
      <c r="E2618" s="5" t="s">
        <v>156</v>
      </c>
      <c r="F2618" s="9">
        <v>74</v>
      </c>
      <c r="G2618" s="9">
        <v>857</v>
      </c>
      <c r="H2618" s="5" t="s">
        <v>20</v>
      </c>
      <c r="I2618" s="5" t="s">
        <v>6214</v>
      </c>
      <c r="J2618" s="12" t="str">
        <f>HYPERLINK("https://www.boe.es/gazeta/dias/1807/08/18/pdfs/GMD-1807-74.pdf#page=9","Abrir facsímil")</f>
        <v>Abrir facsímil</v>
      </c>
      <c r="K2618" s="15" t="s">
        <v>22</v>
      </c>
    </row>
    <row r="2619" spans="1:11" ht="42" customHeight="1">
      <c r="A2619" s="4" t="s">
        <v>6212</v>
      </c>
      <c r="B2619" s="5" t="s">
        <v>6212</v>
      </c>
      <c r="C2619" s="5" t="s">
        <v>89</v>
      </c>
      <c r="D2619" s="5" t="s">
        <v>90</v>
      </c>
      <c r="E2619" s="5" t="s">
        <v>309</v>
      </c>
      <c r="F2619" s="9">
        <v>107</v>
      </c>
      <c r="G2619" s="9">
        <v>1249</v>
      </c>
      <c r="H2619" s="5" t="s">
        <v>20</v>
      </c>
      <c r="I2619" s="5" t="s">
        <v>6215</v>
      </c>
      <c r="J2619" s="12" t="str">
        <f>HYPERLINK("https://www.boe.es/gazeta/dias/1807/12/01/pdfs/GMD-1807-107.pdf#page=9","Abrir facsímil")</f>
        <v>Abrir facsímil</v>
      </c>
      <c r="K2619" s="15" t="s">
        <v>22</v>
      </c>
    </row>
    <row r="2620" spans="1:11" ht="42" customHeight="1">
      <c r="A2620" s="4" t="s">
        <v>6216</v>
      </c>
      <c r="B2620" s="5" t="s">
        <v>6217</v>
      </c>
      <c r="C2620" s="5" t="s">
        <v>34</v>
      </c>
      <c r="D2620" s="5" t="s">
        <v>35</v>
      </c>
      <c r="E2620" s="5" t="s">
        <v>471</v>
      </c>
      <c r="F2620" s="9">
        <v>51</v>
      </c>
      <c r="G2620" s="9">
        <v>606</v>
      </c>
      <c r="H2620" s="5" t="s">
        <v>20</v>
      </c>
      <c r="I2620" s="5" t="s">
        <v>6218</v>
      </c>
      <c r="J2620" s="12" t="str">
        <f>HYPERLINK("https://www.boe.es/gazeta/dias/1807/06/16/pdfs/GMD-1807-51.pdf#page=8","Abrir facsímil")</f>
        <v>Abrir facsímil</v>
      </c>
      <c r="K2620" s="15" t="s">
        <v>22</v>
      </c>
    </row>
    <row r="2621" spans="1:11" ht="42" customHeight="1">
      <c r="A2621" s="4" t="s">
        <v>6219</v>
      </c>
      <c r="B2621" s="5" t="s">
        <v>6220</v>
      </c>
      <c r="C2621" s="5" t="s">
        <v>34</v>
      </c>
      <c r="D2621" s="5" t="s">
        <v>35</v>
      </c>
      <c r="E2621" s="5" t="s">
        <v>572</v>
      </c>
      <c r="F2621" s="9">
        <v>14</v>
      </c>
      <c r="G2621" s="9">
        <v>163</v>
      </c>
      <c r="H2621" s="5" t="s">
        <v>20</v>
      </c>
      <c r="I2621" s="5" t="s">
        <v>6221</v>
      </c>
      <c r="J2621" s="12" t="str">
        <f>HYPERLINK("https://www.boe.es/gazeta/dias/1807/02/10/pdfs/GMD-1807-14.pdf#page=11","Abrir facsímil")</f>
        <v>Abrir facsímil</v>
      </c>
      <c r="K2621" s="15" t="s">
        <v>22</v>
      </c>
    </row>
    <row r="2622" spans="1:11" ht="42" customHeight="1">
      <c r="A2622" s="4" t="s">
        <v>6222</v>
      </c>
      <c r="B2622" s="5" t="s">
        <v>6223</v>
      </c>
      <c r="C2622" s="5" t="s">
        <v>28</v>
      </c>
      <c r="D2622" s="5" t="s">
        <v>29</v>
      </c>
      <c r="E2622" s="5" t="s">
        <v>208</v>
      </c>
      <c r="F2622" s="9">
        <v>42</v>
      </c>
      <c r="G2622" s="9">
        <v>502</v>
      </c>
      <c r="H2622" s="5" t="s">
        <v>20</v>
      </c>
      <c r="I2622" s="5" t="s">
        <v>6224</v>
      </c>
      <c r="J2622" s="12" t="str">
        <f>HYPERLINK("https://www.boe.es/gazeta/dias/1807/05/15/pdfs/GMD-1807-42.pdf#page=8","Abrir facsímil")</f>
        <v>Abrir facsímil</v>
      </c>
      <c r="K2622" s="15" t="s">
        <v>22</v>
      </c>
    </row>
    <row r="2623" spans="1:11" ht="42" customHeight="1">
      <c r="A2623" s="4" t="s">
        <v>6225</v>
      </c>
      <c r="B2623" s="5" t="s">
        <v>6225</v>
      </c>
      <c r="C2623" s="5" t="s">
        <v>34</v>
      </c>
      <c r="D2623" s="5" t="s">
        <v>35</v>
      </c>
      <c r="E2623" s="5" t="s">
        <v>471</v>
      </c>
      <c r="F2623" s="9">
        <v>51</v>
      </c>
      <c r="G2623" s="9">
        <v>605</v>
      </c>
      <c r="H2623" s="5" t="s">
        <v>20</v>
      </c>
      <c r="I2623" s="5" t="s">
        <v>6226</v>
      </c>
      <c r="J2623" s="12" t="str">
        <f>HYPERLINK("https://www.boe.es/gazeta/dias/1807/06/16/pdfs/GMD-1807-51.pdf#page=7","Abrir facsímil")</f>
        <v>Abrir facsímil</v>
      </c>
      <c r="K2623" s="15" t="s">
        <v>22</v>
      </c>
    </row>
    <row r="2624" spans="1:11" ht="42" customHeight="1">
      <c r="A2624" s="4" t="s">
        <v>6227</v>
      </c>
      <c r="B2624" s="5" t="s">
        <v>6227</v>
      </c>
      <c r="C2624" s="5" t="s">
        <v>28</v>
      </c>
      <c r="D2624" s="5" t="s">
        <v>29</v>
      </c>
      <c r="E2624" s="5" t="s">
        <v>65</v>
      </c>
      <c r="F2624" s="9">
        <v>52</v>
      </c>
      <c r="G2624" s="9">
        <v>625</v>
      </c>
      <c r="H2624" s="5" t="s">
        <v>20</v>
      </c>
      <c r="I2624" s="5" t="s">
        <v>6228</v>
      </c>
      <c r="J2624" s="12" t="str">
        <f>HYPERLINK("https://www.boe.es/gazeta/dias/1807/06/19/pdfs/GMD-1807-52.pdf#page=15","Abrir facsímil")</f>
        <v>Abrir facsímil</v>
      </c>
      <c r="K2624" s="15" t="s">
        <v>22</v>
      </c>
    </row>
    <row r="2625" spans="1:11" ht="42" customHeight="1">
      <c r="A2625" s="4" t="s">
        <v>6229</v>
      </c>
      <c r="B2625" s="5" t="s">
        <v>6229</v>
      </c>
      <c r="C2625" s="5" t="s">
        <v>34</v>
      </c>
      <c r="D2625" s="5" t="s">
        <v>35</v>
      </c>
      <c r="E2625" s="5" t="s">
        <v>1354</v>
      </c>
      <c r="F2625" s="9">
        <v>83</v>
      </c>
      <c r="G2625" s="9">
        <v>969</v>
      </c>
      <c r="H2625" s="5" t="s">
        <v>20</v>
      </c>
      <c r="I2625" s="5" t="s">
        <v>6230</v>
      </c>
      <c r="J2625" s="12" t="str">
        <f>HYPERLINK("https://www.boe.es/gazeta/dias/1807/09/18/pdfs/GMD-1807-83.pdf#page=9","Abrir facsímil")</f>
        <v>Abrir facsímil</v>
      </c>
      <c r="K2625" s="15" t="s">
        <v>22</v>
      </c>
    </row>
    <row r="2626" spans="1:11" ht="42" customHeight="1">
      <c r="A2626" s="4" t="s">
        <v>6231</v>
      </c>
      <c r="B2626" s="5" t="s">
        <v>6231</v>
      </c>
      <c r="C2626" s="5" t="s">
        <v>34</v>
      </c>
      <c r="D2626" s="5" t="s">
        <v>35</v>
      </c>
      <c r="E2626" s="5" t="s">
        <v>319</v>
      </c>
      <c r="F2626" s="9">
        <v>54</v>
      </c>
      <c r="G2626" s="9">
        <v>645</v>
      </c>
      <c r="H2626" s="5" t="s">
        <v>20</v>
      </c>
      <c r="I2626" s="5" t="s">
        <v>6232</v>
      </c>
      <c r="J2626" s="12" t="str">
        <f>HYPERLINK("https://www.boe.es/gazeta/dias/1807/06/26/pdfs/GMD-1807-54.pdf#page=7","Abrir facsímil")</f>
        <v>Abrir facsímil</v>
      </c>
      <c r="K2626" s="15" t="s">
        <v>22</v>
      </c>
    </row>
    <row r="2627" spans="1:11" ht="42" customHeight="1">
      <c r="A2627" s="4" t="s">
        <v>6233</v>
      </c>
      <c r="B2627" s="5" t="s">
        <v>6233</v>
      </c>
      <c r="C2627" s="5" t="s">
        <v>28</v>
      </c>
      <c r="D2627" s="5" t="s">
        <v>29</v>
      </c>
      <c r="E2627" s="5" t="s">
        <v>507</v>
      </c>
      <c r="F2627" s="9">
        <v>48</v>
      </c>
      <c r="G2627" s="9">
        <v>570</v>
      </c>
      <c r="H2627" s="5" t="s">
        <v>20</v>
      </c>
      <c r="I2627" s="5" t="s">
        <v>6234</v>
      </c>
      <c r="J2627" s="12" t="str">
        <f>HYPERLINK("https://www.boe.es/gazeta/dias/1807/06/05/pdfs/GMD-1807-48.pdf#page=8","Abrir facsímil")</f>
        <v>Abrir facsímil</v>
      </c>
      <c r="K2627" s="15" t="s">
        <v>22</v>
      </c>
    </row>
    <row r="2628" spans="1:11" ht="42" customHeight="1">
      <c r="A2628" s="4" t="s">
        <v>6235</v>
      </c>
      <c r="B2628" s="5" t="s">
        <v>6235</v>
      </c>
      <c r="C2628" s="5" t="s">
        <v>34</v>
      </c>
      <c r="D2628" s="5" t="s">
        <v>35</v>
      </c>
      <c r="E2628" s="5" t="s">
        <v>36</v>
      </c>
      <c r="F2628" s="9">
        <v>36</v>
      </c>
      <c r="G2628" s="9">
        <v>430</v>
      </c>
      <c r="H2628" s="5" t="s">
        <v>20</v>
      </c>
      <c r="I2628" s="5" t="s">
        <v>6236</v>
      </c>
      <c r="J2628" s="12" t="str">
        <f>HYPERLINK("https://www.boe.es/gazeta/dias/1807/04/24/pdfs/GMD-1807-36.pdf#page=10","Abrir facsímil")</f>
        <v>Abrir facsímil</v>
      </c>
      <c r="K2628" s="15" t="s">
        <v>22</v>
      </c>
    </row>
    <row r="2629" spans="1:11" ht="42" customHeight="1">
      <c r="A2629" s="4" t="s">
        <v>6237</v>
      </c>
      <c r="B2629" s="5" t="s">
        <v>6237</v>
      </c>
      <c r="C2629" s="5" t="s">
        <v>24</v>
      </c>
      <c r="D2629" s="5" t="s">
        <v>18</v>
      </c>
      <c r="E2629" s="5" t="s">
        <v>245</v>
      </c>
      <c r="F2629" s="9">
        <v>97</v>
      </c>
      <c r="G2629" s="9">
        <v>1131</v>
      </c>
      <c r="H2629" s="5" t="s">
        <v>20</v>
      </c>
      <c r="I2629" s="5" t="s">
        <v>6238</v>
      </c>
      <c r="J2629" s="12" t="str">
        <f>HYPERLINK("https://www.boe.es/gazeta/dias/1807/10/30/pdfs/GMD-1807-97.pdf#page=11","Abrir facsímil")</f>
        <v>Abrir facsímil</v>
      </c>
      <c r="K2629" s="15" t="s">
        <v>22</v>
      </c>
    </row>
    <row r="2630" spans="1:11" ht="42" customHeight="1">
      <c r="A2630" s="4" t="s">
        <v>6239</v>
      </c>
      <c r="B2630" s="5" t="s">
        <v>6239</v>
      </c>
      <c r="C2630" s="5" t="s">
        <v>28</v>
      </c>
      <c r="D2630" s="5" t="s">
        <v>29</v>
      </c>
      <c r="E2630" s="5" t="s">
        <v>464</v>
      </c>
      <c r="F2630" s="9">
        <v>18</v>
      </c>
      <c r="G2630" s="9">
        <v>212</v>
      </c>
      <c r="H2630" s="5" t="s">
        <v>20</v>
      </c>
      <c r="I2630" s="5" t="s">
        <v>6240</v>
      </c>
      <c r="J2630" s="12" t="str">
        <f>HYPERLINK("https://www.boe.es/gazeta/dias/1807/02/24/pdfs/GMD-1807-18.pdf#page=12","Abrir facsímil")</f>
        <v>Abrir facsímil</v>
      </c>
      <c r="K2630" s="15" t="s">
        <v>22</v>
      </c>
    </row>
    <row r="2631" spans="1:11" ht="42" customHeight="1">
      <c r="A2631" s="4" t="s">
        <v>6241</v>
      </c>
      <c r="B2631" s="5" t="s">
        <v>6241</v>
      </c>
      <c r="C2631" s="5" t="s">
        <v>28</v>
      </c>
      <c r="D2631" s="5" t="s">
        <v>29</v>
      </c>
      <c r="E2631" s="5" t="s">
        <v>83</v>
      </c>
      <c r="F2631" s="9">
        <v>50</v>
      </c>
      <c r="G2631" s="9">
        <v>595</v>
      </c>
      <c r="H2631" s="5" t="s">
        <v>20</v>
      </c>
      <c r="I2631" s="5" t="s">
        <v>6242</v>
      </c>
      <c r="J2631" s="12" t="str">
        <f>HYPERLINK("https://www.boe.es/gazeta/dias/1807/06/12/pdfs/GMD-1807-50.pdf#page=9","Abrir facsímil")</f>
        <v>Abrir facsímil</v>
      </c>
      <c r="K2631" s="15" t="s">
        <v>22</v>
      </c>
    </row>
    <row r="2632" spans="1:11" ht="42" customHeight="1">
      <c r="A2632" s="4" t="s">
        <v>6243</v>
      </c>
      <c r="B2632" s="5" t="s">
        <v>6243</v>
      </c>
      <c r="C2632" s="5" t="s">
        <v>34</v>
      </c>
      <c r="D2632" s="5" t="s">
        <v>35</v>
      </c>
      <c r="E2632" s="5" t="s">
        <v>319</v>
      </c>
      <c r="F2632" s="9">
        <v>54</v>
      </c>
      <c r="G2632" s="9">
        <v>645</v>
      </c>
      <c r="H2632" s="5" t="s">
        <v>20</v>
      </c>
      <c r="I2632" s="5" t="s">
        <v>6244</v>
      </c>
      <c r="J2632" s="12" t="str">
        <f>HYPERLINK("https://www.boe.es/gazeta/dias/1807/06/26/pdfs/GMD-1807-54.pdf#page=7","Abrir facsímil")</f>
        <v>Abrir facsímil</v>
      </c>
      <c r="K2632" s="15" t="s">
        <v>22</v>
      </c>
    </row>
    <row r="2633" spans="1:11" ht="42" customHeight="1">
      <c r="A2633" s="4" t="s">
        <v>6245</v>
      </c>
      <c r="B2633" s="5" t="s">
        <v>6245</v>
      </c>
      <c r="C2633" s="5" t="s">
        <v>34</v>
      </c>
      <c r="D2633" s="5" t="s">
        <v>35</v>
      </c>
      <c r="E2633" s="5" t="s">
        <v>208</v>
      </c>
      <c r="F2633" s="9">
        <v>42</v>
      </c>
      <c r="G2633" s="9">
        <v>502</v>
      </c>
      <c r="H2633" s="5" t="s">
        <v>20</v>
      </c>
      <c r="I2633" s="5" t="s">
        <v>6246</v>
      </c>
      <c r="J2633" s="12" t="str">
        <f>HYPERLINK("https://www.boe.es/gazeta/dias/1807/05/15/pdfs/GMD-1807-42.pdf#page=8","Abrir facsímil")</f>
        <v>Abrir facsímil</v>
      </c>
      <c r="K2633" s="15" t="s">
        <v>22</v>
      </c>
    </row>
    <row r="2634" spans="1:11" ht="42" customHeight="1">
      <c r="A2634" s="4" t="s">
        <v>6247</v>
      </c>
      <c r="B2634" s="5" t="s">
        <v>6247</v>
      </c>
      <c r="C2634" s="5" t="s">
        <v>34</v>
      </c>
      <c r="D2634" s="5" t="s">
        <v>35</v>
      </c>
      <c r="E2634" s="5" t="s">
        <v>179</v>
      </c>
      <c r="F2634" s="9">
        <v>100</v>
      </c>
      <c r="G2634" s="9">
        <v>1164</v>
      </c>
      <c r="H2634" s="5" t="s">
        <v>20</v>
      </c>
      <c r="I2634" s="5" t="s">
        <v>6248</v>
      </c>
      <c r="J2634" s="12" t="str">
        <f>HYPERLINK("https://www.boe.es/gazeta/dias/1807/11/10/pdfs/GMD-1807-100.pdf#page=8","Abrir facsímil")</f>
        <v>Abrir facsímil</v>
      </c>
      <c r="K2634" s="15" t="s">
        <v>22</v>
      </c>
    </row>
    <row r="2635" spans="1:11" ht="42" customHeight="1">
      <c r="A2635" s="4" t="s">
        <v>6249</v>
      </c>
      <c r="B2635" s="5" t="s">
        <v>6249</v>
      </c>
      <c r="C2635" s="5" t="s">
        <v>28</v>
      </c>
      <c r="D2635" s="5" t="s">
        <v>29</v>
      </c>
      <c r="E2635" s="5" t="s">
        <v>215</v>
      </c>
      <c r="F2635" s="9">
        <v>5</v>
      </c>
      <c r="G2635" s="9">
        <v>51</v>
      </c>
      <c r="H2635" s="5" t="s">
        <v>20</v>
      </c>
      <c r="I2635" s="5" t="s">
        <v>6250</v>
      </c>
      <c r="J2635" s="12" t="str">
        <f>HYPERLINK("https://www.boe.es/gazeta/dias/1807/01/16/pdfs/GMD-1807-5.pdf#page=7","Abrir facsímil")</f>
        <v>Abrir facsímil</v>
      </c>
      <c r="K2635" s="15" t="s">
        <v>22</v>
      </c>
    </row>
    <row r="2636" spans="1:11" ht="42" customHeight="1">
      <c r="A2636" s="4" t="s">
        <v>6251</v>
      </c>
      <c r="B2636" s="5" t="s">
        <v>6251</v>
      </c>
      <c r="C2636" s="5" t="s">
        <v>34</v>
      </c>
      <c r="D2636" s="5" t="s">
        <v>35</v>
      </c>
      <c r="E2636" s="5" t="s">
        <v>94</v>
      </c>
      <c r="F2636" s="9">
        <v>22</v>
      </c>
      <c r="G2636" s="9">
        <v>255</v>
      </c>
      <c r="H2636" s="5" t="s">
        <v>20</v>
      </c>
      <c r="I2636" s="5" t="s">
        <v>6252</v>
      </c>
      <c r="J2636" s="12" t="str">
        <f>HYPERLINK("https://www.boe.es/gazeta/dias/1807/03/06/pdfs/GMD-1807-22.pdf#page=7","Abrir facsímil")</f>
        <v>Abrir facsímil</v>
      </c>
      <c r="K2636" s="15" t="s">
        <v>22</v>
      </c>
    </row>
    <row r="2637" spans="1:11" ht="42" customHeight="1">
      <c r="A2637" s="4" t="s">
        <v>6253</v>
      </c>
      <c r="B2637" s="5" t="s">
        <v>6253</v>
      </c>
      <c r="C2637" s="5" t="s">
        <v>34</v>
      </c>
      <c r="D2637" s="5" t="s">
        <v>35</v>
      </c>
      <c r="E2637" s="5" t="s">
        <v>131</v>
      </c>
      <c r="F2637" s="9">
        <v>28</v>
      </c>
      <c r="G2637" s="9">
        <v>334</v>
      </c>
      <c r="H2637" s="5" t="s">
        <v>20</v>
      </c>
      <c r="I2637" s="5" t="s">
        <v>6254</v>
      </c>
      <c r="J2637" s="12" t="str">
        <f>HYPERLINK("https://www.boe.es/gazeta/dias/1807/03/27/pdfs/GMD-1807-28.pdf#page=6","Abrir facsímil")</f>
        <v>Abrir facsímil</v>
      </c>
      <c r="K2637" s="15" t="s">
        <v>22</v>
      </c>
    </row>
    <row r="2638" spans="1:11" ht="42" customHeight="1">
      <c r="A2638" s="4" t="s">
        <v>6255</v>
      </c>
      <c r="B2638" s="5" t="s">
        <v>6255</v>
      </c>
      <c r="C2638" s="5" t="s">
        <v>34</v>
      </c>
      <c r="D2638" s="5" t="s">
        <v>35</v>
      </c>
      <c r="E2638" s="5" t="s">
        <v>215</v>
      </c>
      <c r="F2638" s="9">
        <v>5</v>
      </c>
      <c r="G2638" s="9">
        <v>51</v>
      </c>
      <c r="H2638" s="5" t="s">
        <v>20</v>
      </c>
      <c r="I2638" s="5" t="s">
        <v>6256</v>
      </c>
      <c r="J2638" s="12" t="str">
        <f>HYPERLINK("https://www.boe.es/gazeta/dias/1807/01/16/pdfs/GMD-1807-5.pdf#page=7","Abrir facsímil")</f>
        <v>Abrir facsímil</v>
      </c>
      <c r="K2638" s="15" t="s">
        <v>22</v>
      </c>
    </row>
    <row r="2639" spans="1:11" ht="42" customHeight="1">
      <c r="A2639" s="4" t="s">
        <v>6257</v>
      </c>
      <c r="B2639" s="5" t="s">
        <v>6257</v>
      </c>
      <c r="C2639" s="5" t="s">
        <v>34</v>
      </c>
      <c r="D2639" s="5" t="s">
        <v>35</v>
      </c>
      <c r="E2639" s="5" t="s">
        <v>471</v>
      </c>
      <c r="F2639" s="9">
        <v>51</v>
      </c>
      <c r="G2639" s="9">
        <v>605</v>
      </c>
      <c r="H2639" s="5" t="s">
        <v>20</v>
      </c>
      <c r="I2639" s="5" t="s">
        <v>6258</v>
      </c>
      <c r="J2639" s="12" t="str">
        <f>HYPERLINK("https://www.boe.es/gazeta/dias/1807/06/16/pdfs/GMD-1807-51.pdf#page=7","Abrir facsímil")</f>
        <v>Abrir facsímil</v>
      </c>
      <c r="K2639" s="15" t="s">
        <v>22</v>
      </c>
    </row>
    <row r="2640" spans="1:11" ht="42" customHeight="1">
      <c r="A2640" s="4" t="s">
        <v>6259</v>
      </c>
      <c r="B2640" s="5" t="s">
        <v>6259</v>
      </c>
      <c r="C2640" s="5" t="s">
        <v>28</v>
      </c>
      <c r="D2640" s="5" t="s">
        <v>29</v>
      </c>
      <c r="E2640" s="5" t="s">
        <v>40</v>
      </c>
      <c r="F2640" s="9">
        <v>26</v>
      </c>
      <c r="G2640" s="9">
        <v>310</v>
      </c>
      <c r="H2640" s="5" t="s">
        <v>20</v>
      </c>
      <c r="I2640" s="5" t="s">
        <v>6260</v>
      </c>
      <c r="J2640" s="12" t="str">
        <f>HYPERLINK("https://www.boe.es/gazeta/dias/1807/03/20/pdfs/GMD-1807-26.pdf#page=6","Abrir facsímil")</f>
        <v>Abrir facsímil</v>
      </c>
      <c r="K2640" s="15" t="s">
        <v>22</v>
      </c>
    </row>
    <row r="2641" spans="1:11" ht="42" customHeight="1">
      <c r="A2641" s="4" t="s">
        <v>6261</v>
      </c>
      <c r="B2641" s="5" t="s">
        <v>6261</v>
      </c>
      <c r="C2641" s="5" t="s">
        <v>34</v>
      </c>
      <c r="D2641" s="5" t="s">
        <v>35</v>
      </c>
      <c r="E2641" s="5" t="s">
        <v>106</v>
      </c>
      <c r="F2641" s="9">
        <v>39</v>
      </c>
      <c r="G2641" s="9">
        <v>465</v>
      </c>
      <c r="H2641" s="5" t="s">
        <v>20</v>
      </c>
      <c r="I2641" s="5" t="s">
        <v>6262</v>
      </c>
      <c r="J2641" s="12" t="str">
        <f>HYPERLINK("https://www.boe.es/gazeta/dias/1807/05/05/pdfs/GMD-1807-39.pdf#page=7","Abrir facsímil")</f>
        <v>Abrir facsímil</v>
      </c>
      <c r="K2641" s="15" t="s">
        <v>22</v>
      </c>
    </row>
    <row r="2642" spans="1:11" ht="42" customHeight="1">
      <c r="A2642" s="4" t="s">
        <v>6263</v>
      </c>
      <c r="B2642" s="5" t="s">
        <v>6263</v>
      </c>
      <c r="C2642" s="5" t="s">
        <v>17</v>
      </c>
      <c r="D2642" s="5" t="s">
        <v>18</v>
      </c>
      <c r="E2642" s="5" t="s">
        <v>507</v>
      </c>
      <c r="F2642" s="9">
        <v>48</v>
      </c>
      <c r="G2642" s="9">
        <v>570</v>
      </c>
      <c r="H2642" s="5" t="s">
        <v>20</v>
      </c>
      <c r="I2642" s="5" t="s">
        <v>6264</v>
      </c>
      <c r="J2642" s="12" t="str">
        <f>HYPERLINK("https://www.boe.es/gazeta/dias/1807/06/05/pdfs/GMD-1807-48.pdf#page=8","Abrir facsímil")</f>
        <v>Abrir facsímil</v>
      </c>
      <c r="K2642" s="15" t="s">
        <v>22</v>
      </c>
    </row>
    <row r="2643" spans="1:11" ht="42" customHeight="1">
      <c r="A2643" s="4" t="s">
        <v>6265</v>
      </c>
      <c r="B2643" s="5" t="s">
        <v>6265</v>
      </c>
      <c r="C2643" s="5" t="s">
        <v>24</v>
      </c>
      <c r="D2643" s="5" t="s">
        <v>18</v>
      </c>
      <c r="E2643" s="5" t="s">
        <v>1354</v>
      </c>
      <c r="F2643" s="9">
        <v>83</v>
      </c>
      <c r="G2643" s="9">
        <v>970</v>
      </c>
      <c r="H2643" s="5" t="s">
        <v>20</v>
      </c>
      <c r="I2643" s="5" t="s">
        <v>6266</v>
      </c>
      <c r="J2643" s="12" t="str">
        <f>HYPERLINK("https://www.boe.es/gazeta/dias/1807/09/18/pdfs/GMD-1807-83.pdf#page=10","Abrir facsímil")</f>
        <v>Abrir facsímil</v>
      </c>
      <c r="K2643" s="15" t="s">
        <v>22</v>
      </c>
    </row>
    <row r="2644" spans="1:11" ht="42" customHeight="1">
      <c r="A2644" s="4" t="s">
        <v>6267</v>
      </c>
      <c r="B2644" s="5" t="s">
        <v>6267</v>
      </c>
      <c r="C2644" s="5" t="s">
        <v>17</v>
      </c>
      <c r="D2644" s="5" t="s">
        <v>18</v>
      </c>
      <c r="E2644" s="5" t="s">
        <v>505</v>
      </c>
      <c r="F2644" s="9">
        <v>47</v>
      </c>
      <c r="G2644" s="9">
        <v>562</v>
      </c>
      <c r="H2644" s="5" t="s">
        <v>20</v>
      </c>
      <c r="I2644" s="5" t="s">
        <v>6268</v>
      </c>
      <c r="J2644" s="12" t="str">
        <f>HYPERLINK("https://www.boe.es/gazeta/dias/1807/06/02/pdfs/GMD-1807-47.pdf#page=8","Abrir facsímil")</f>
        <v>Abrir facsímil</v>
      </c>
      <c r="K2644" s="15" t="s">
        <v>22</v>
      </c>
    </row>
    <row r="2645" spans="1:11" ht="42" customHeight="1">
      <c r="A2645" s="4" t="s">
        <v>6267</v>
      </c>
      <c r="B2645" s="5" t="s">
        <v>6267</v>
      </c>
      <c r="C2645" s="5" t="s">
        <v>17</v>
      </c>
      <c r="D2645" s="5" t="s">
        <v>18</v>
      </c>
      <c r="E2645" s="5" t="s">
        <v>83</v>
      </c>
      <c r="F2645" s="9">
        <v>50</v>
      </c>
      <c r="G2645" s="9">
        <v>598</v>
      </c>
      <c r="H2645" s="5" t="s">
        <v>20</v>
      </c>
      <c r="I2645" s="5" t="s">
        <v>6269</v>
      </c>
      <c r="J2645" s="12" t="str">
        <f>HYPERLINK("https://www.boe.es/gazeta/dias/1807/06/12/pdfs/GMD-1807-50.pdf#page=12","Abrir facsímil")</f>
        <v>Abrir facsímil</v>
      </c>
      <c r="K2645" s="15" t="s">
        <v>22</v>
      </c>
    </row>
    <row r="2646" spans="1:11" ht="42" customHeight="1">
      <c r="A2646" s="4" t="s">
        <v>6267</v>
      </c>
      <c r="B2646" s="5" t="s">
        <v>6267</v>
      </c>
      <c r="C2646" s="5" t="s">
        <v>89</v>
      </c>
      <c r="D2646" s="5" t="s">
        <v>90</v>
      </c>
      <c r="E2646" s="5" t="s">
        <v>62</v>
      </c>
      <c r="F2646" s="9">
        <v>68</v>
      </c>
      <c r="G2646" s="9">
        <v>786</v>
      </c>
      <c r="H2646" s="5" t="s">
        <v>20</v>
      </c>
      <c r="I2646" s="5" t="s">
        <v>6270</v>
      </c>
      <c r="J2646" s="12" t="str">
        <f>HYPERLINK("https://www.boe.es/gazeta/dias/1807/07/31/pdfs/GMD-1807-68.pdf#page=10","Abrir facsímil")</f>
        <v>Abrir facsímil</v>
      </c>
      <c r="K2646" s="15" t="s">
        <v>22</v>
      </c>
    </row>
    <row r="2647" spans="1:11" ht="42" customHeight="1">
      <c r="A2647" s="4" t="s">
        <v>6267</v>
      </c>
      <c r="B2647" s="5" t="s">
        <v>6267</v>
      </c>
      <c r="C2647" s="5" t="s">
        <v>17</v>
      </c>
      <c r="D2647" s="5" t="s">
        <v>18</v>
      </c>
      <c r="E2647" s="5" t="s">
        <v>1076</v>
      </c>
      <c r="F2647" s="9">
        <v>96</v>
      </c>
      <c r="G2647" s="9">
        <v>1120</v>
      </c>
      <c r="H2647" s="5" t="s">
        <v>20</v>
      </c>
      <c r="I2647" s="5" t="s">
        <v>6271</v>
      </c>
      <c r="J2647" s="12" t="str">
        <f>HYPERLINK("https://www.boe.es/gazeta/dias/1807/10/27/pdfs/GMD-1807-96.pdf#page=12","Abrir facsímil")</f>
        <v>Abrir facsímil</v>
      </c>
      <c r="K2647" s="15" t="s">
        <v>22</v>
      </c>
    </row>
    <row r="2648" spans="1:11" ht="42" customHeight="1">
      <c r="A2648" s="4" t="s">
        <v>6267</v>
      </c>
      <c r="B2648" s="5" t="s">
        <v>6267</v>
      </c>
      <c r="C2648" s="5" t="s">
        <v>89</v>
      </c>
      <c r="D2648" s="5" t="s">
        <v>90</v>
      </c>
      <c r="E2648" s="5" t="s">
        <v>309</v>
      </c>
      <c r="F2648" s="9">
        <v>107</v>
      </c>
      <c r="G2648" s="9">
        <v>1250</v>
      </c>
      <c r="H2648" s="5" t="s">
        <v>20</v>
      </c>
      <c r="I2648" s="5" t="s">
        <v>6272</v>
      </c>
      <c r="J2648" s="12" t="str">
        <f>HYPERLINK("https://www.boe.es/gazeta/dias/1807/12/01/pdfs/GMD-1807-107.pdf#page=10","Abrir facsímil")</f>
        <v>Abrir facsímil</v>
      </c>
      <c r="K2648" s="15" t="s">
        <v>22</v>
      </c>
    </row>
    <row r="2649" spans="1:11" ht="42" customHeight="1">
      <c r="A2649" s="4" t="s">
        <v>6273</v>
      </c>
      <c r="B2649" s="5" t="s">
        <v>6273</v>
      </c>
      <c r="C2649" s="5" t="s">
        <v>28</v>
      </c>
      <c r="D2649" s="5" t="s">
        <v>29</v>
      </c>
      <c r="E2649" s="5" t="s">
        <v>221</v>
      </c>
      <c r="F2649" s="9">
        <v>73</v>
      </c>
      <c r="G2649" s="9">
        <v>846</v>
      </c>
      <c r="H2649" s="5" t="s">
        <v>20</v>
      </c>
      <c r="I2649" s="5" t="s">
        <v>6274</v>
      </c>
      <c r="J2649" s="12" t="str">
        <f>HYPERLINK("https://www.boe.es/gazeta/dias/1807/08/14/pdfs/GMD-1807-73.pdf#page=10","Abrir facsímil")</f>
        <v>Abrir facsímil</v>
      </c>
      <c r="K2649" s="15" t="s">
        <v>22</v>
      </c>
    </row>
    <row r="2650" spans="1:11" ht="42" customHeight="1">
      <c r="A2650" s="4" t="s">
        <v>6275</v>
      </c>
      <c r="B2650" s="5" t="s">
        <v>6275</v>
      </c>
      <c r="C2650" s="5" t="s">
        <v>28</v>
      </c>
      <c r="D2650" s="5" t="s">
        <v>29</v>
      </c>
      <c r="E2650" s="5" t="s">
        <v>42</v>
      </c>
      <c r="F2650" s="9">
        <v>31</v>
      </c>
      <c r="G2650" s="9">
        <v>367</v>
      </c>
      <c r="H2650" s="5" t="s">
        <v>20</v>
      </c>
      <c r="I2650" s="5" t="s">
        <v>6276</v>
      </c>
      <c r="J2650" s="12" t="str">
        <f>HYPERLINK("https://www.boe.es/gazeta/dias/1807/04/07/pdfs/GMD-1807-31.pdf#page=7","Abrir facsímil")</f>
        <v>Abrir facsímil</v>
      </c>
      <c r="K2650" s="15" t="s">
        <v>22</v>
      </c>
    </row>
    <row r="2651" spans="1:11" ht="42" customHeight="1">
      <c r="A2651" s="4" t="s">
        <v>6275</v>
      </c>
      <c r="B2651" s="5" t="s">
        <v>6275</v>
      </c>
      <c r="C2651" s="5" t="s">
        <v>28</v>
      </c>
      <c r="D2651" s="5" t="s">
        <v>29</v>
      </c>
      <c r="E2651" s="5" t="s">
        <v>186</v>
      </c>
      <c r="F2651" s="9">
        <v>72</v>
      </c>
      <c r="G2651" s="9">
        <v>828</v>
      </c>
      <c r="H2651" s="5" t="s">
        <v>20</v>
      </c>
      <c r="I2651" s="5" t="s">
        <v>6277</v>
      </c>
      <c r="J2651" s="12" t="str">
        <f>HYPERLINK("https://www.boe.es/gazeta/dias/1807/08/11/pdfs/GMD-1807-72.pdf#page=8","Abrir facsímil")</f>
        <v>Abrir facsímil</v>
      </c>
      <c r="K2651" s="15" t="s">
        <v>22</v>
      </c>
    </row>
    <row r="2652" spans="1:11" ht="42" customHeight="1">
      <c r="A2652" s="4" t="s">
        <v>6278</v>
      </c>
      <c r="B2652" s="5" t="s">
        <v>6278</v>
      </c>
      <c r="C2652" s="5" t="s">
        <v>28</v>
      </c>
      <c r="D2652" s="5" t="s">
        <v>29</v>
      </c>
      <c r="E2652" s="5" t="s">
        <v>98</v>
      </c>
      <c r="F2652" s="9">
        <v>34</v>
      </c>
      <c r="G2652" s="9">
        <v>404</v>
      </c>
      <c r="H2652" s="5" t="s">
        <v>20</v>
      </c>
      <c r="I2652" s="5" t="s">
        <v>6279</v>
      </c>
      <c r="J2652" s="12" t="str">
        <f>HYPERLINK("https://www.boe.es/gazeta/dias/1807/04/17/pdfs/GMD-1807-34.pdf#page=8","Abrir facsímil")</f>
        <v>Abrir facsímil</v>
      </c>
      <c r="K2652" s="15" t="s">
        <v>22</v>
      </c>
    </row>
    <row r="2653" spans="1:11" ht="42" customHeight="1">
      <c r="A2653" s="4" t="s">
        <v>6280</v>
      </c>
      <c r="B2653" s="5" t="s">
        <v>6280</v>
      </c>
      <c r="C2653" s="5" t="s">
        <v>17</v>
      </c>
      <c r="D2653" s="5" t="s">
        <v>18</v>
      </c>
      <c r="E2653" s="5" t="s">
        <v>83</v>
      </c>
      <c r="F2653" s="9">
        <v>50</v>
      </c>
      <c r="G2653" s="9">
        <v>595</v>
      </c>
      <c r="H2653" s="5" t="s">
        <v>20</v>
      </c>
      <c r="I2653" s="5" t="s">
        <v>6281</v>
      </c>
      <c r="J2653" s="12" t="str">
        <f>HYPERLINK("https://www.boe.es/gazeta/dias/1807/06/12/pdfs/GMD-1807-50.pdf#page=9","Abrir facsímil")</f>
        <v>Abrir facsímil</v>
      </c>
      <c r="K2653" s="15" t="s">
        <v>22</v>
      </c>
    </row>
    <row r="2654" spans="1:11" ht="42" customHeight="1">
      <c r="A2654" s="4" t="s">
        <v>6282</v>
      </c>
      <c r="B2654" s="5" t="s">
        <v>6282</v>
      </c>
      <c r="C2654" s="5" t="s">
        <v>34</v>
      </c>
      <c r="D2654" s="5" t="s">
        <v>35</v>
      </c>
      <c r="E2654" s="5" t="s">
        <v>156</v>
      </c>
      <c r="F2654" s="9">
        <v>74</v>
      </c>
      <c r="G2654" s="9">
        <v>856</v>
      </c>
      <c r="H2654" s="5" t="s">
        <v>20</v>
      </c>
      <c r="I2654" s="5" t="s">
        <v>6283</v>
      </c>
      <c r="J2654" s="12" t="str">
        <f>HYPERLINK("https://www.boe.es/gazeta/dias/1807/08/18/pdfs/GMD-1807-74.pdf#page=8","Abrir facsímil")</f>
        <v>Abrir facsímil</v>
      </c>
      <c r="K2654" s="15" t="s">
        <v>22</v>
      </c>
    </row>
    <row r="2655" spans="1:11" ht="42" customHeight="1">
      <c r="A2655" s="4" t="s">
        <v>6284</v>
      </c>
      <c r="B2655" s="5" t="s">
        <v>6284</v>
      </c>
      <c r="C2655" s="5" t="s">
        <v>24</v>
      </c>
      <c r="D2655" s="5" t="s">
        <v>18</v>
      </c>
      <c r="E2655" s="5" t="s">
        <v>98</v>
      </c>
      <c r="F2655" s="9">
        <v>34</v>
      </c>
      <c r="G2655" s="9">
        <v>406</v>
      </c>
      <c r="H2655" s="5" t="s">
        <v>20</v>
      </c>
      <c r="I2655" s="5" t="s">
        <v>6285</v>
      </c>
      <c r="J2655" s="12" t="str">
        <f>HYPERLINK("https://www.boe.es/gazeta/dias/1807/04/17/pdfs/GMD-1807-34.pdf#page=10","Abrir facsímil")</f>
        <v>Abrir facsímil</v>
      </c>
      <c r="K2655" s="15" t="s">
        <v>22</v>
      </c>
    </row>
    <row r="2656" spans="1:11" ht="42" customHeight="1">
      <c r="A2656" s="4" t="s">
        <v>6286</v>
      </c>
      <c r="B2656" s="5" t="s">
        <v>6286</v>
      </c>
      <c r="C2656" s="5" t="s">
        <v>34</v>
      </c>
      <c r="D2656" s="5" t="s">
        <v>35</v>
      </c>
      <c r="E2656" s="5" t="s">
        <v>282</v>
      </c>
      <c r="F2656" s="9">
        <v>16</v>
      </c>
      <c r="G2656" s="9">
        <v>185</v>
      </c>
      <c r="H2656" s="5" t="s">
        <v>20</v>
      </c>
      <c r="I2656" s="5" t="s">
        <v>6287</v>
      </c>
      <c r="J2656" s="12" t="str">
        <f>HYPERLINK("https://www.boe.es/gazeta/dias/1807/02/17/pdfs/GMD-1807-16.pdf#page=9","Abrir facsímil")</f>
        <v>Abrir facsímil</v>
      </c>
      <c r="K2656" s="15" t="s">
        <v>22</v>
      </c>
    </row>
    <row r="2657" spans="1:11" ht="42" customHeight="1">
      <c r="A2657" s="4" t="s">
        <v>6288</v>
      </c>
      <c r="B2657" s="5" t="s">
        <v>6288</v>
      </c>
      <c r="C2657" s="5" t="s">
        <v>34</v>
      </c>
      <c r="D2657" s="5" t="s">
        <v>35</v>
      </c>
      <c r="E2657" s="5" t="s">
        <v>94</v>
      </c>
      <c r="F2657" s="9">
        <v>22</v>
      </c>
      <c r="G2657" s="9">
        <v>256</v>
      </c>
      <c r="H2657" s="5" t="s">
        <v>20</v>
      </c>
      <c r="I2657" s="5" t="s">
        <v>6289</v>
      </c>
      <c r="J2657" s="12" t="str">
        <f>HYPERLINK("https://www.boe.es/gazeta/dias/1807/03/06/pdfs/GMD-1807-22.pdf#page=8","Abrir facsímil")</f>
        <v>Abrir facsímil</v>
      </c>
      <c r="K2657" s="15" t="s">
        <v>22</v>
      </c>
    </row>
    <row r="2658" spans="1:11" ht="42" customHeight="1">
      <c r="A2658" s="4" t="s">
        <v>6290</v>
      </c>
      <c r="B2658" s="5" t="s">
        <v>6290</v>
      </c>
      <c r="C2658" s="5" t="s">
        <v>34</v>
      </c>
      <c r="D2658" s="5" t="s">
        <v>35</v>
      </c>
      <c r="E2658" s="5" t="s">
        <v>76</v>
      </c>
      <c r="F2658" s="9">
        <v>7</v>
      </c>
      <c r="G2658" s="9">
        <v>74</v>
      </c>
      <c r="H2658" s="5" t="s">
        <v>20</v>
      </c>
      <c r="I2658" s="5" t="s">
        <v>6291</v>
      </c>
      <c r="J2658" s="12" t="str">
        <f>HYPERLINK("https://www.boe.es/gazeta/dias/1807/01/20/pdfs/GMD-1807-7.pdf#page=6","Abrir facsímil")</f>
        <v>Abrir facsímil</v>
      </c>
      <c r="K2658" s="15" t="s">
        <v>22</v>
      </c>
    </row>
    <row r="2659" spans="1:11" ht="42" customHeight="1">
      <c r="A2659" s="4" t="s">
        <v>6292</v>
      </c>
      <c r="B2659" s="5" t="s">
        <v>6292</v>
      </c>
      <c r="C2659" s="5" t="s">
        <v>24</v>
      </c>
      <c r="D2659" s="5" t="s">
        <v>18</v>
      </c>
      <c r="E2659" s="5" t="s">
        <v>167</v>
      </c>
      <c r="F2659" s="9">
        <v>77</v>
      </c>
      <c r="G2659" s="9">
        <v>895</v>
      </c>
      <c r="H2659" s="5" t="s">
        <v>20</v>
      </c>
      <c r="I2659" s="5" t="s">
        <v>6293</v>
      </c>
      <c r="J2659" s="12" t="str">
        <f>HYPERLINK("https://www.boe.es/gazeta/dias/1807/08/28/pdfs/GMD-1807-77.pdf#page=11","Abrir facsímil")</f>
        <v>Abrir facsímil</v>
      </c>
      <c r="K2659" s="15" t="s">
        <v>22</v>
      </c>
    </row>
    <row r="2660" spans="1:11" ht="42" customHeight="1">
      <c r="A2660" s="4" t="s">
        <v>6294</v>
      </c>
      <c r="B2660" s="5" t="s">
        <v>6294</v>
      </c>
      <c r="C2660" s="5" t="s">
        <v>34</v>
      </c>
      <c r="D2660" s="5" t="s">
        <v>35</v>
      </c>
      <c r="E2660" s="5" t="s">
        <v>441</v>
      </c>
      <c r="F2660" s="9">
        <v>92</v>
      </c>
      <c r="G2660" s="9">
        <v>1068</v>
      </c>
      <c r="H2660" s="5" t="s">
        <v>20</v>
      </c>
      <c r="I2660" s="5" t="s">
        <v>6295</v>
      </c>
      <c r="J2660" s="12" t="str">
        <f>HYPERLINK("https://www.boe.es/gazeta/dias/1807/10/13/pdfs/GMD-1807-92.pdf#page=8","Abrir facsímil")</f>
        <v>Abrir facsímil</v>
      </c>
      <c r="K2660" s="15" t="s">
        <v>22</v>
      </c>
    </row>
    <row r="2661" spans="1:11" ht="42" customHeight="1">
      <c r="A2661" s="4" t="s">
        <v>6296</v>
      </c>
      <c r="B2661" s="5" t="s">
        <v>6296</v>
      </c>
      <c r="C2661" s="5" t="s">
        <v>28</v>
      </c>
      <c r="D2661" s="5" t="s">
        <v>29</v>
      </c>
      <c r="E2661" s="5" t="s">
        <v>76</v>
      </c>
      <c r="F2661" s="9">
        <v>7</v>
      </c>
      <c r="G2661" s="9">
        <v>82</v>
      </c>
      <c r="H2661" s="5" t="s">
        <v>20</v>
      </c>
      <c r="I2661" s="5" t="s">
        <v>6297</v>
      </c>
      <c r="J2661" s="12" t="str">
        <f>HYPERLINK("https://www.boe.es/gazeta/dias/1807/01/20/pdfs/GMD-1807-7.pdf#page=14","Abrir facsímil")</f>
        <v>Abrir facsímil</v>
      </c>
      <c r="K2661" s="15" t="s">
        <v>22</v>
      </c>
    </row>
    <row r="2662" spans="1:11" ht="42" customHeight="1">
      <c r="A2662" s="4" t="s">
        <v>6298</v>
      </c>
      <c r="B2662" s="5" t="s">
        <v>6298</v>
      </c>
      <c r="C2662" s="5" t="s">
        <v>89</v>
      </c>
      <c r="D2662" s="5" t="s">
        <v>90</v>
      </c>
      <c r="E2662" s="5" t="s">
        <v>94</v>
      </c>
      <c r="F2662" s="9">
        <v>22</v>
      </c>
      <c r="G2662" s="9">
        <v>259</v>
      </c>
      <c r="H2662" s="5" t="s">
        <v>20</v>
      </c>
      <c r="I2662" s="5" t="s">
        <v>6299</v>
      </c>
      <c r="J2662" s="12" t="str">
        <f>HYPERLINK("https://www.boe.es/gazeta/dias/1807/03/06/pdfs/GMD-1807-22.pdf#page=11","Abrir facsímil")</f>
        <v>Abrir facsímil</v>
      </c>
      <c r="K2662" s="15" t="s">
        <v>22</v>
      </c>
    </row>
    <row r="2663" spans="1:11" ht="42" customHeight="1">
      <c r="A2663" s="4" t="s">
        <v>6300</v>
      </c>
      <c r="B2663" s="5" t="s">
        <v>6301</v>
      </c>
      <c r="C2663" s="5" t="s">
        <v>34</v>
      </c>
      <c r="D2663" s="5" t="s">
        <v>35</v>
      </c>
      <c r="E2663" s="5" t="s">
        <v>581</v>
      </c>
      <c r="F2663" s="9">
        <v>71</v>
      </c>
      <c r="G2663" s="9">
        <v>815</v>
      </c>
      <c r="H2663" s="5" t="s">
        <v>20</v>
      </c>
      <c r="I2663" s="5" t="s">
        <v>6302</v>
      </c>
      <c r="J2663" s="12" t="str">
        <f>HYPERLINK("https://www.boe.es/gazeta/dias/1807/08/07/pdfs/GMD-1807-71.pdf#page=7","Abrir facsímil")</f>
        <v>Abrir facsímil</v>
      </c>
      <c r="K2663" s="15" t="s">
        <v>22</v>
      </c>
    </row>
    <row r="2664" spans="1:11" ht="42" customHeight="1">
      <c r="A2664" s="4" t="s">
        <v>6303</v>
      </c>
      <c r="B2664" s="5" t="s">
        <v>6303</v>
      </c>
      <c r="C2664" s="5" t="s">
        <v>17</v>
      </c>
      <c r="D2664" s="5" t="s">
        <v>18</v>
      </c>
      <c r="E2664" s="5" t="s">
        <v>666</v>
      </c>
      <c r="F2664" s="9">
        <v>43</v>
      </c>
      <c r="G2664" s="9">
        <v>514</v>
      </c>
      <c r="H2664" s="5" t="s">
        <v>20</v>
      </c>
      <c r="I2664" s="5" t="s">
        <v>6304</v>
      </c>
      <c r="J2664" s="12" t="str">
        <f>HYPERLINK("https://www.boe.es/gazeta/dias/1807/05/19/pdfs/GMD-1807-43.pdf#page=8","Abrir facsímil")</f>
        <v>Abrir facsímil</v>
      </c>
      <c r="K2664" s="15" t="s">
        <v>22</v>
      </c>
    </row>
    <row r="2665" spans="1:11" ht="42" customHeight="1">
      <c r="A2665" s="4" t="s">
        <v>6305</v>
      </c>
      <c r="B2665" s="5" t="s">
        <v>6306</v>
      </c>
      <c r="C2665" s="5" t="s">
        <v>34</v>
      </c>
      <c r="D2665" s="5" t="s">
        <v>35</v>
      </c>
      <c r="E2665" s="5" t="s">
        <v>666</v>
      </c>
      <c r="F2665" s="9">
        <v>43</v>
      </c>
      <c r="G2665" s="9">
        <v>514</v>
      </c>
      <c r="H2665" s="5" t="s">
        <v>20</v>
      </c>
      <c r="I2665" s="5" t="s">
        <v>6307</v>
      </c>
      <c r="J2665" s="12" t="str">
        <f>HYPERLINK("https://www.boe.es/gazeta/dias/1807/05/19/pdfs/GMD-1807-43.pdf#page=8","Abrir facsímil")</f>
        <v>Abrir facsímil</v>
      </c>
      <c r="K2665" s="15" t="s">
        <v>22</v>
      </c>
    </row>
    <row r="2666" spans="1:11" ht="42" customHeight="1">
      <c r="A2666" s="4" t="s">
        <v>6308</v>
      </c>
      <c r="B2666" s="5" t="s">
        <v>6309</v>
      </c>
      <c r="C2666" s="5" t="s">
        <v>17</v>
      </c>
      <c r="D2666" s="5" t="s">
        <v>18</v>
      </c>
      <c r="E2666" s="5" t="s">
        <v>139</v>
      </c>
      <c r="F2666" s="9">
        <v>110</v>
      </c>
      <c r="G2666" s="9">
        <v>1284</v>
      </c>
      <c r="H2666" s="5" t="s">
        <v>20</v>
      </c>
      <c r="I2666" s="5" t="s">
        <v>6310</v>
      </c>
      <c r="J2666" s="12" t="str">
        <f>HYPERLINK("https://www.boe.es/gazeta/dias/1807/12/11/pdfs/GMD-1807-110.pdf#page=8","Abrir facsímil")</f>
        <v>Abrir facsímil</v>
      </c>
      <c r="K2666" s="15" t="s">
        <v>22</v>
      </c>
    </row>
    <row r="2667" spans="1:11" ht="42" customHeight="1">
      <c r="A2667" s="4" t="s">
        <v>6311</v>
      </c>
      <c r="B2667" s="5" t="s">
        <v>6311</v>
      </c>
      <c r="C2667" s="5" t="s">
        <v>28</v>
      </c>
      <c r="D2667" s="5" t="s">
        <v>29</v>
      </c>
      <c r="E2667" s="5" t="s">
        <v>106</v>
      </c>
      <c r="F2667" s="9">
        <v>39</v>
      </c>
      <c r="G2667" s="9">
        <v>466</v>
      </c>
      <c r="H2667" s="5" t="s">
        <v>20</v>
      </c>
      <c r="I2667" s="5" t="s">
        <v>6312</v>
      </c>
      <c r="J2667" s="12" t="str">
        <f>HYPERLINK("https://www.boe.es/gazeta/dias/1807/05/05/pdfs/GMD-1807-39.pdf#page=8","Abrir facsímil")</f>
        <v>Abrir facsímil</v>
      </c>
      <c r="K2667" s="15" t="s">
        <v>22</v>
      </c>
    </row>
    <row r="2668" spans="1:11" ht="42" customHeight="1">
      <c r="A2668" s="4" t="s">
        <v>6313</v>
      </c>
      <c r="B2668" s="5" t="s">
        <v>6313</v>
      </c>
      <c r="C2668" s="5" t="s">
        <v>34</v>
      </c>
      <c r="D2668" s="5" t="s">
        <v>35</v>
      </c>
      <c r="E2668" s="5" t="s">
        <v>321</v>
      </c>
      <c r="F2668" s="9">
        <v>75</v>
      </c>
      <c r="G2668" s="9">
        <v>867</v>
      </c>
      <c r="H2668" s="5" t="s">
        <v>20</v>
      </c>
      <c r="I2668" s="5" t="s">
        <v>6314</v>
      </c>
      <c r="J2668" s="12" t="str">
        <f>HYPERLINK("https://www.boe.es/gazeta/dias/1807/08/21/pdfs/GMD-1807-75.pdf#page=7","Abrir facsímil")</f>
        <v>Abrir facsímil</v>
      </c>
      <c r="K2668" s="15" t="s">
        <v>22</v>
      </c>
    </row>
    <row r="2669" spans="1:11" ht="42" customHeight="1">
      <c r="A2669" s="4" t="s">
        <v>6315</v>
      </c>
      <c r="B2669" s="5" t="s">
        <v>6315</v>
      </c>
      <c r="C2669" s="5" t="s">
        <v>89</v>
      </c>
      <c r="D2669" s="5" t="s">
        <v>90</v>
      </c>
      <c r="E2669" s="5" t="s">
        <v>418</v>
      </c>
      <c r="F2669" s="9">
        <v>4</v>
      </c>
      <c r="G2669" s="9">
        <v>42</v>
      </c>
      <c r="H2669" s="5" t="s">
        <v>20</v>
      </c>
      <c r="I2669" s="5" t="s">
        <v>6316</v>
      </c>
      <c r="J2669" s="12" t="str">
        <f>HYPERLINK("https://www.boe.es/gazeta/dias/1807/01/13/pdfs/GMD-1807-4.pdf#page=10","Abrir facsímil")</f>
        <v>Abrir facsímil</v>
      </c>
      <c r="K2669" s="15" t="s">
        <v>22</v>
      </c>
    </row>
    <row r="2670" spans="1:11" ht="42" customHeight="1">
      <c r="A2670" s="4" t="s">
        <v>6317</v>
      </c>
      <c r="B2670" s="5" t="s">
        <v>6317</v>
      </c>
      <c r="C2670" s="5" t="s">
        <v>24</v>
      </c>
      <c r="D2670" s="5" t="s">
        <v>18</v>
      </c>
      <c r="E2670" s="5" t="s">
        <v>319</v>
      </c>
      <c r="F2670" s="9">
        <v>54</v>
      </c>
      <c r="G2670" s="9">
        <v>648</v>
      </c>
      <c r="H2670" s="5" t="s">
        <v>20</v>
      </c>
      <c r="I2670" s="5" t="s">
        <v>6318</v>
      </c>
      <c r="J2670" s="12" t="str">
        <f>HYPERLINK("https://www.boe.es/gazeta/dias/1807/06/26/pdfs/GMD-1807-54.pdf#page=10","Abrir facsímil")</f>
        <v>Abrir facsímil</v>
      </c>
      <c r="K2670" s="15" t="s">
        <v>22</v>
      </c>
    </row>
    <row r="2671" spans="1:11" ht="42" customHeight="1">
      <c r="A2671" s="4" t="s">
        <v>6319</v>
      </c>
      <c r="B2671" s="5" t="s">
        <v>6320</v>
      </c>
      <c r="C2671" s="5" t="s">
        <v>24</v>
      </c>
      <c r="D2671" s="5" t="s">
        <v>18</v>
      </c>
      <c r="E2671" s="5" t="s">
        <v>266</v>
      </c>
      <c r="F2671" s="9">
        <v>67</v>
      </c>
      <c r="G2671" s="9">
        <v>774</v>
      </c>
      <c r="H2671" s="5" t="s">
        <v>20</v>
      </c>
      <c r="I2671" s="5" t="s">
        <v>6321</v>
      </c>
      <c r="J2671" s="12" t="str">
        <f>HYPERLINK("https://www.boe.es/gazeta/dias/1807/07/28/pdfs/GMD-1807-67.pdf#page=10","Abrir facsímil")</f>
        <v>Abrir facsímil</v>
      </c>
      <c r="K2671" s="15" t="s">
        <v>22</v>
      </c>
    </row>
    <row r="2672" spans="1:11" ht="42" customHeight="1">
      <c r="A2672" s="4" t="s">
        <v>6319</v>
      </c>
      <c r="B2672" s="5" t="s">
        <v>6320</v>
      </c>
      <c r="C2672" s="5" t="s">
        <v>34</v>
      </c>
      <c r="D2672" s="5" t="s">
        <v>35</v>
      </c>
      <c r="E2672" s="5" t="s">
        <v>245</v>
      </c>
      <c r="F2672" s="9">
        <v>97</v>
      </c>
      <c r="G2672" s="9">
        <v>1131</v>
      </c>
      <c r="H2672" s="5" t="s">
        <v>20</v>
      </c>
      <c r="I2672" s="5" t="s">
        <v>6322</v>
      </c>
      <c r="J2672" s="12" t="str">
        <f>HYPERLINK("https://www.boe.es/gazeta/dias/1807/10/30/pdfs/GMD-1807-97.pdf#page=11","Abrir facsímil")</f>
        <v>Abrir facsímil</v>
      </c>
      <c r="K2672" s="15" t="s">
        <v>22</v>
      </c>
    </row>
    <row r="2673" spans="1:11" ht="42" customHeight="1">
      <c r="A2673" s="4" t="s">
        <v>6323</v>
      </c>
      <c r="B2673" s="5" t="s">
        <v>6323</v>
      </c>
      <c r="C2673" s="5" t="s">
        <v>28</v>
      </c>
      <c r="D2673" s="5" t="s">
        <v>29</v>
      </c>
      <c r="E2673" s="5" t="s">
        <v>426</v>
      </c>
      <c r="F2673" s="9">
        <v>93</v>
      </c>
      <c r="G2673" s="9">
        <v>1083</v>
      </c>
      <c r="H2673" s="5" t="s">
        <v>20</v>
      </c>
      <c r="I2673" s="5" t="s">
        <v>6324</v>
      </c>
      <c r="J2673" s="12" t="str">
        <f>HYPERLINK("https://www.boe.es/gazeta/dias/1807/10/16/pdfs/GMD-1807-93.pdf#page=11","Abrir facsímil")</f>
        <v>Abrir facsímil</v>
      </c>
      <c r="K2673" s="15" t="s">
        <v>22</v>
      </c>
    </row>
    <row r="2674" spans="1:11" ht="42" customHeight="1">
      <c r="A2674" s="4" t="s">
        <v>6325</v>
      </c>
      <c r="B2674" s="5" t="s">
        <v>6326</v>
      </c>
      <c r="C2674" s="5" t="s">
        <v>34</v>
      </c>
      <c r="D2674" s="5" t="s">
        <v>35</v>
      </c>
      <c r="E2674" s="5" t="s">
        <v>25</v>
      </c>
      <c r="F2674" s="9">
        <v>45</v>
      </c>
      <c r="G2674" s="9">
        <v>541</v>
      </c>
      <c r="H2674" s="5" t="s">
        <v>20</v>
      </c>
      <c r="I2674" s="5" t="s">
        <v>6327</v>
      </c>
      <c r="J2674" s="12" t="str">
        <f>HYPERLINK("https://www.boe.es/gazeta/dias/1807/05/26/pdfs/GMD-1807-45.pdf#page=11","Abrir facsímil")</f>
        <v>Abrir facsímil</v>
      </c>
      <c r="K2674" s="15" t="s">
        <v>22</v>
      </c>
    </row>
    <row r="2675" spans="1:11" ht="42" customHeight="1">
      <c r="A2675" s="4" t="s">
        <v>6328</v>
      </c>
      <c r="B2675" s="5" t="s">
        <v>6328</v>
      </c>
      <c r="C2675" s="5" t="s">
        <v>24</v>
      </c>
      <c r="D2675" s="5" t="s">
        <v>18</v>
      </c>
      <c r="E2675" s="5" t="s">
        <v>266</v>
      </c>
      <c r="F2675" s="9">
        <v>67</v>
      </c>
      <c r="G2675" s="9">
        <v>774</v>
      </c>
      <c r="H2675" s="5" t="s">
        <v>20</v>
      </c>
      <c r="I2675" s="5" t="s">
        <v>6329</v>
      </c>
      <c r="J2675" s="12" t="str">
        <f>HYPERLINK("https://www.boe.es/gazeta/dias/1807/07/28/pdfs/GMD-1807-67.pdf#page=10","Abrir facsímil")</f>
        <v>Abrir facsímil</v>
      </c>
      <c r="K2675" s="15" t="s">
        <v>22</v>
      </c>
    </row>
    <row r="2676" spans="1:11" ht="42" customHeight="1">
      <c r="A2676" s="4" t="s">
        <v>6330</v>
      </c>
      <c r="B2676" s="5" t="s">
        <v>6330</v>
      </c>
      <c r="C2676" s="5" t="s">
        <v>34</v>
      </c>
      <c r="D2676" s="5" t="s">
        <v>35</v>
      </c>
      <c r="E2676" s="5" t="s">
        <v>71</v>
      </c>
      <c r="F2676" s="9">
        <v>35</v>
      </c>
      <c r="G2676" s="9">
        <v>419</v>
      </c>
      <c r="H2676" s="5" t="s">
        <v>20</v>
      </c>
      <c r="I2676" s="5" t="s">
        <v>6331</v>
      </c>
      <c r="J2676" s="12" t="str">
        <f>HYPERLINK("https://www.boe.es/gazeta/dias/1807/04/21/pdfs/GMD-1807-35.pdf#page=11","Abrir facsímil")</f>
        <v>Abrir facsímil</v>
      </c>
      <c r="K2676" s="15" t="s">
        <v>22</v>
      </c>
    </row>
    <row r="2677" spans="1:11" ht="42" customHeight="1">
      <c r="A2677" s="4" t="s">
        <v>6330</v>
      </c>
      <c r="B2677" s="5" t="s">
        <v>6330</v>
      </c>
      <c r="C2677" s="5" t="s">
        <v>24</v>
      </c>
      <c r="D2677" s="5" t="s">
        <v>18</v>
      </c>
      <c r="E2677" s="5" t="s">
        <v>414</v>
      </c>
      <c r="F2677" s="9">
        <v>40</v>
      </c>
      <c r="G2677" s="9">
        <v>479</v>
      </c>
      <c r="H2677" s="5" t="s">
        <v>20</v>
      </c>
      <c r="I2677" s="5" t="s">
        <v>6332</v>
      </c>
      <c r="J2677" s="12" t="str">
        <f>HYPERLINK("https://www.boe.es/gazeta/dias/1807/05/08/pdfs/GMD-1807-40.pdf#page=9","Abrir facsímil")</f>
        <v>Abrir facsímil</v>
      </c>
      <c r="K2677" s="15" t="s">
        <v>22</v>
      </c>
    </row>
    <row r="2678" spans="1:11" ht="42" customHeight="1">
      <c r="A2678" s="4" t="s">
        <v>6333</v>
      </c>
      <c r="B2678" s="5" t="s">
        <v>6333</v>
      </c>
      <c r="C2678" s="5" t="s">
        <v>28</v>
      </c>
      <c r="D2678" s="5" t="s">
        <v>29</v>
      </c>
      <c r="E2678" s="5" t="s">
        <v>131</v>
      </c>
      <c r="F2678" s="9">
        <v>28</v>
      </c>
      <c r="G2678" s="9">
        <v>334</v>
      </c>
      <c r="H2678" s="5" t="s">
        <v>20</v>
      </c>
      <c r="I2678" s="5" t="s">
        <v>6334</v>
      </c>
      <c r="J2678" s="12" t="str">
        <f>HYPERLINK("https://www.boe.es/gazeta/dias/1807/03/27/pdfs/GMD-1807-28.pdf#page=6","Abrir facsímil")</f>
        <v>Abrir facsímil</v>
      </c>
      <c r="K2678" s="15" t="s">
        <v>22</v>
      </c>
    </row>
    <row r="2679" spans="1:11" ht="42" customHeight="1">
      <c r="A2679" s="4" t="s">
        <v>6335</v>
      </c>
      <c r="B2679" s="5" t="s">
        <v>6335</v>
      </c>
      <c r="C2679" s="5" t="s">
        <v>34</v>
      </c>
      <c r="D2679" s="5" t="s">
        <v>35</v>
      </c>
      <c r="E2679" s="5" t="s">
        <v>561</v>
      </c>
      <c r="F2679" s="9">
        <v>44</v>
      </c>
      <c r="G2679" s="9">
        <v>524</v>
      </c>
      <c r="H2679" s="5" t="s">
        <v>20</v>
      </c>
      <c r="I2679" s="5" t="s">
        <v>6336</v>
      </c>
      <c r="J2679" s="12" t="str">
        <f>HYPERLINK("https://www.boe.es/gazeta/dias/1807/05/22/pdfs/GMD-1807-44.pdf#page=6","Abrir facsímil")</f>
        <v>Abrir facsímil</v>
      </c>
      <c r="K2679" s="15" t="s">
        <v>22</v>
      </c>
    </row>
    <row r="2680" spans="1:11" ht="42" customHeight="1">
      <c r="A2680" s="4" t="s">
        <v>6337</v>
      </c>
      <c r="B2680" s="5" t="s">
        <v>6337</v>
      </c>
      <c r="C2680" s="5" t="s">
        <v>34</v>
      </c>
      <c r="D2680" s="5" t="s">
        <v>35</v>
      </c>
      <c r="E2680" s="5" t="s">
        <v>471</v>
      </c>
      <c r="F2680" s="9">
        <v>51</v>
      </c>
      <c r="G2680" s="9">
        <v>605</v>
      </c>
      <c r="H2680" s="5" t="s">
        <v>20</v>
      </c>
      <c r="I2680" s="5" t="s">
        <v>6338</v>
      </c>
      <c r="J2680" s="12" t="str">
        <f>HYPERLINK("https://www.boe.es/gazeta/dias/1807/06/16/pdfs/GMD-1807-51.pdf#page=7","Abrir facsímil")</f>
        <v>Abrir facsímil</v>
      </c>
      <c r="K2680" s="15" t="s">
        <v>22</v>
      </c>
    </row>
    <row r="2681" spans="1:11" ht="42" customHeight="1">
      <c r="A2681" s="4" t="s">
        <v>6339</v>
      </c>
      <c r="B2681" s="5" t="s">
        <v>6339</v>
      </c>
      <c r="C2681" s="5" t="s">
        <v>28</v>
      </c>
      <c r="D2681" s="5" t="s">
        <v>29</v>
      </c>
      <c r="E2681" s="5" t="s">
        <v>464</v>
      </c>
      <c r="F2681" s="9">
        <v>18</v>
      </c>
      <c r="G2681" s="9">
        <v>212</v>
      </c>
      <c r="H2681" s="5" t="s">
        <v>20</v>
      </c>
      <c r="I2681" s="5" t="s">
        <v>6340</v>
      </c>
      <c r="J2681" s="12" t="str">
        <f>HYPERLINK("https://www.boe.es/gazeta/dias/1807/02/24/pdfs/GMD-1807-18.pdf#page=12","Abrir facsímil")</f>
        <v>Abrir facsímil</v>
      </c>
      <c r="K2681" s="15" t="s">
        <v>22</v>
      </c>
    </row>
    <row r="2682" spans="1:11" ht="42" customHeight="1">
      <c r="A2682" s="4" t="s">
        <v>6341</v>
      </c>
      <c r="B2682" s="5" t="s">
        <v>6341</v>
      </c>
      <c r="C2682" s="5" t="s">
        <v>28</v>
      </c>
      <c r="D2682" s="5" t="s">
        <v>29</v>
      </c>
      <c r="E2682" s="5" t="s">
        <v>444</v>
      </c>
      <c r="F2682" s="9">
        <v>95</v>
      </c>
      <c r="G2682" s="9">
        <v>1104</v>
      </c>
      <c r="H2682" s="5" t="s">
        <v>20</v>
      </c>
      <c r="I2682" s="5" t="s">
        <v>6342</v>
      </c>
      <c r="J2682" s="12" t="str">
        <f>HYPERLINK("https://www.boe.es/gazeta/dias/1807/10/23/pdfs/GMD-1807-95.pdf#page=8","Abrir facsímil")</f>
        <v>Abrir facsímil</v>
      </c>
      <c r="K2682" s="15" t="s">
        <v>22</v>
      </c>
    </row>
    <row r="2683" spans="1:11" ht="42" customHeight="1">
      <c r="A2683" s="4" t="s">
        <v>6343</v>
      </c>
      <c r="B2683" s="5" t="s">
        <v>6343</v>
      </c>
      <c r="C2683" s="5" t="s">
        <v>28</v>
      </c>
      <c r="D2683" s="5" t="s">
        <v>29</v>
      </c>
      <c r="E2683" s="5" t="s">
        <v>46</v>
      </c>
      <c r="F2683" s="9">
        <v>78</v>
      </c>
      <c r="G2683" s="9">
        <v>904</v>
      </c>
      <c r="H2683" s="5" t="s">
        <v>20</v>
      </c>
      <c r="I2683" s="5" t="s">
        <v>6344</v>
      </c>
      <c r="J2683" s="12" t="str">
        <f>HYPERLINK("https://www.boe.es/gazeta/dias/1807/09/01/pdfs/GMD-1807-78.pdf#page=8","Abrir facsímil")</f>
        <v>Abrir facsímil</v>
      </c>
      <c r="K2683" s="15" t="s">
        <v>22</v>
      </c>
    </row>
    <row r="2684" spans="1:11" ht="42" customHeight="1">
      <c r="A2684" s="4" t="s">
        <v>6345</v>
      </c>
      <c r="B2684" s="5" t="s">
        <v>6345</v>
      </c>
      <c r="C2684" s="5" t="s">
        <v>17</v>
      </c>
      <c r="D2684" s="5" t="s">
        <v>18</v>
      </c>
      <c r="E2684" s="5" t="s">
        <v>156</v>
      </c>
      <c r="F2684" s="9">
        <v>74</v>
      </c>
      <c r="G2684" s="9">
        <v>856</v>
      </c>
      <c r="H2684" s="5" t="s">
        <v>20</v>
      </c>
      <c r="I2684" s="5" t="s">
        <v>6346</v>
      </c>
      <c r="J2684" s="12" t="str">
        <f>HYPERLINK("https://www.boe.es/gazeta/dias/1807/08/18/pdfs/GMD-1807-74.pdf#page=8","Abrir facsímil")</f>
        <v>Abrir facsímil</v>
      </c>
      <c r="K2684" s="15" t="s">
        <v>22</v>
      </c>
    </row>
    <row r="2685" spans="1:11" ht="42" customHeight="1">
      <c r="A2685" s="4" t="s">
        <v>6347</v>
      </c>
      <c r="B2685" s="5" t="s">
        <v>6347</v>
      </c>
      <c r="C2685" s="5" t="s">
        <v>34</v>
      </c>
      <c r="D2685" s="5" t="s">
        <v>35</v>
      </c>
      <c r="E2685" s="5" t="s">
        <v>471</v>
      </c>
      <c r="F2685" s="9">
        <v>51</v>
      </c>
      <c r="G2685" s="9">
        <v>608</v>
      </c>
      <c r="H2685" s="5" t="s">
        <v>20</v>
      </c>
      <c r="I2685" s="5" t="s">
        <v>6348</v>
      </c>
      <c r="J2685" s="12" t="str">
        <f>HYPERLINK("https://www.boe.es/gazeta/dias/1807/06/16/pdfs/GMD-1807-51.pdf#page=10","Abrir facsímil")</f>
        <v>Abrir facsímil</v>
      </c>
      <c r="K2685" s="15" t="s">
        <v>22</v>
      </c>
    </row>
    <row r="2686" spans="1:11" ht="42" customHeight="1">
      <c r="A2686" s="4" t="s">
        <v>6349</v>
      </c>
      <c r="B2686" s="5" t="s">
        <v>6349</v>
      </c>
      <c r="C2686" s="5" t="s">
        <v>34</v>
      </c>
      <c r="D2686" s="5" t="s">
        <v>35</v>
      </c>
      <c r="E2686" s="5" t="s">
        <v>1456</v>
      </c>
      <c r="F2686" s="9">
        <v>98</v>
      </c>
      <c r="G2686" s="9">
        <v>1141</v>
      </c>
      <c r="H2686" s="5" t="s">
        <v>20</v>
      </c>
      <c r="I2686" s="5" t="s">
        <v>6350</v>
      </c>
      <c r="J2686" s="12" t="str">
        <f>HYPERLINK("https://www.boe.es/gazeta/dias/1807/11/03/pdfs/GMD-1807-98.pdf#page=9","Abrir facsímil")</f>
        <v>Abrir facsímil</v>
      </c>
      <c r="K2686" s="15" t="s">
        <v>22</v>
      </c>
    </row>
    <row r="2687" spans="1:11" ht="42" customHeight="1">
      <c r="A2687" s="4" t="s">
        <v>6351</v>
      </c>
      <c r="B2687" s="5" t="s">
        <v>6352</v>
      </c>
      <c r="C2687" s="5" t="s">
        <v>28</v>
      </c>
      <c r="D2687" s="5" t="s">
        <v>29</v>
      </c>
      <c r="E2687" s="5" t="s">
        <v>98</v>
      </c>
      <c r="F2687" s="9">
        <v>34</v>
      </c>
      <c r="G2687" s="9">
        <v>407</v>
      </c>
      <c r="H2687" s="5" t="s">
        <v>20</v>
      </c>
      <c r="I2687" s="5" t="s">
        <v>6353</v>
      </c>
      <c r="J2687" s="12" t="str">
        <f>HYPERLINK("https://www.boe.es/gazeta/dias/1807/04/17/pdfs/GMD-1807-34.pdf#page=11","Abrir facsímil")</f>
        <v>Abrir facsímil</v>
      </c>
      <c r="K2687" s="15" t="s">
        <v>22</v>
      </c>
    </row>
    <row r="2688" spans="1:11" ht="42" customHeight="1">
      <c r="A2688" s="4" t="s">
        <v>6354</v>
      </c>
      <c r="B2688" s="5" t="s">
        <v>6354</v>
      </c>
      <c r="C2688" s="5" t="s">
        <v>28</v>
      </c>
      <c r="D2688" s="5" t="s">
        <v>29</v>
      </c>
      <c r="E2688" s="5" t="s">
        <v>101</v>
      </c>
      <c r="F2688" s="9">
        <v>23</v>
      </c>
      <c r="G2688" s="9">
        <v>271</v>
      </c>
      <c r="H2688" s="5" t="s">
        <v>20</v>
      </c>
      <c r="I2688" s="5" t="s">
        <v>6355</v>
      </c>
      <c r="J2688" s="12" t="str">
        <f>HYPERLINK("https://www.boe.es/gazeta/dias/1807/03/10/pdfs/GMD-1807-23.pdf#page=11","Abrir facsímil")</f>
        <v>Abrir facsímil</v>
      </c>
      <c r="K2688" s="15" t="s">
        <v>22</v>
      </c>
    </row>
    <row r="2689" spans="1:11" ht="42" customHeight="1">
      <c r="A2689" s="4" t="s">
        <v>6354</v>
      </c>
      <c r="B2689" s="5" t="s">
        <v>6354</v>
      </c>
      <c r="C2689" s="5" t="s">
        <v>34</v>
      </c>
      <c r="D2689" s="5" t="s">
        <v>35</v>
      </c>
      <c r="E2689" s="5" t="s">
        <v>444</v>
      </c>
      <c r="F2689" s="9">
        <v>95</v>
      </c>
      <c r="G2689" s="9">
        <v>1105</v>
      </c>
      <c r="H2689" s="5" t="s">
        <v>20</v>
      </c>
      <c r="I2689" s="5" t="s">
        <v>6356</v>
      </c>
      <c r="J2689" s="12" t="str">
        <f>HYPERLINK("https://www.boe.es/gazeta/dias/1807/10/23/pdfs/GMD-1807-95.pdf#page=9","Abrir facsímil")</f>
        <v>Abrir facsímil</v>
      </c>
      <c r="K2689" s="15" t="s">
        <v>22</v>
      </c>
    </row>
    <row r="2690" spans="1:11" ht="42" customHeight="1">
      <c r="A2690" s="4" t="s">
        <v>6357</v>
      </c>
      <c r="B2690" s="5" t="s">
        <v>6357</v>
      </c>
      <c r="C2690" s="5" t="s">
        <v>49</v>
      </c>
      <c r="D2690" s="5" t="s">
        <v>50</v>
      </c>
      <c r="E2690" s="5" t="s">
        <v>219</v>
      </c>
      <c r="F2690" s="9">
        <v>56</v>
      </c>
      <c r="G2690" s="9">
        <v>668</v>
      </c>
      <c r="H2690" s="5" t="s">
        <v>20</v>
      </c>
      <c r="I2690" s="5" t="s">
        <v>6358</v>
      </c>
      <c r="J2690" s="12" t="str">
        <f>HYPERLINK("https://www.boe.es/gazeta/dias/1807/07/03/pdfs/GMD-1807-56.pdf#page=6","Abrir facsímil")</f>
        <v>Abrir facsímil</v>
      </c>
      <c r="K2690" s="15" t="s">
        <v>22</v>
      </c>
    </row>
    <row r="2691" spans="1:11" ht="42" customHeight="1">
      <c r="A2691" s="4" t="s">
        <v>6359</v>
      </c>
      <c r="B2691" s="5" t="s">
        <v>6359</v>
      </c>
      <c r="C2691" s="5" t="s">
        <v>17</v>
      </c>
      <c r="D2691" s="5" t="s">
        <v>18</v>
      </c>
      <c r="E2691" s="5" t="s">
        <v>19</v>
      </c>
      <c r="F2691" s="9">
        <v>41</v>
      </c>
      <c r="G2691" s="9">
        <v>492</v>
      </c>
      <c r="H2691" s="5" t="s">
        <v>20</v>
      </c>
      <c r="I2691" s="5" t="s">
        <v>6360</v>
      </c>
      <c r="J2691" s="12" t="str">
        <f>HYPERLINK("https://www.boe.es/gazeta/dias/1807/05/12/pdfs/GMD-1807-41.pdf#page=10","Abrir facsímil")</f>
        <v>Abrir facsímil</v>
      </c>
      <c r="K2691" s="15" t="s">
        <v>22</v>
      </c>
    </row>
    <row r="2692" spans="1:11" ht="42" customHeight="1">
      <c r="A2692" s="4" t="s">
        <v>6361</v>
      </c>
      <c r="B2692" s="5" t="s">
        <v>6361</v>
      </c>
      <c r="C2692" s="5" t="s">
        <v>24</v>
      </c>
      <c r="D2692" s="5" t="s">
        <v>18</v>
      </c>
      <c r="E2692" s="5" t="s">
        <v>447</v>
      </c>
      <c r="F2692" s="9">
        <v>65</v>
      </c>
      <c r="G2692" s="9">
        <v>760</v>
      </c>
      <c r="H2692" s="5" t="s">
        <v>20</v>
      </c>
      <c r="I2692" s="5" t="s">
        <v>6362</v>
      </c>
      <c r="J2692" s="12" t="str">
        <f>HYPERLINK("https://www.boe.es/gazeta/dias/1807/07/24/pdfs/GMD-1807-65.pdf#page=10","Abrir facsímil")</f>
        <v>Abrir facsímil</v>
      </c>
      <c r="K2692" s="15" t="s">
        <v>22</v>
      </c>
    </row>
    <row r="2693" spans="1:11" ht="42" customHeight="1">
      <c r="A2693" s="4" t="s">
        <v>6363</v>
      </c>
      <c r="B2693" s="5" t="s">
        <v>6364</v>
      </c>
      <c r="C2693" s="5" t="s">
        <v>24</v>
      </c>
      <c r="D2693" s="5" t="s">
        <v>18</v>
      </c>
      <c r="E2693" s="5" t="s">
        <v>98</v>
      </c>
      <c r="F2693" s="9">
        <v>34</v>
      </c>
      <c r="G2693" s="9">
        <v>407</v>
      </c>
      <c r="H2693" s="5" t="s">
        <v>20</v>
      </c>
      <c r="I2693" s="5" t="s">
        <v>6365</v>
      </c>
      <c r="J2693" s="12" t="str">
        <f>HYPERLINK("https://www.boe.es/gazeta/dias/1807/04/17/pdfs/GMD-1807-34.pdf#page=11","Abrir facsímil")</f>
        <v>Abrir facsímil</v>
      </c>
      <c r="K2693" s="15" t="s">
        <v>22</v>
      </c>
    </row>
    <row r="2694" spans="1:11" ht="42" customHeight="1">
      <c r="A2694" s="4" t="s">
        <v>6366</v>
      </c>
      <c r="B2694" s="5" t="s">
        <v>6366</v>
      </c>
      <c r="C2694" s="5" t="s">
        <v>34</v>
      </c>
      <c r="D2694" s="5" t="s">
        <v>35</v>
      </c>
      <c r="E2694" s="5" t="s">
        <v>426</v>
      </c>
      <c r="F2694" s="9">
        <v>93</v>
      </c>
      <c r="G2694" s="9">
        <v>1080</v>
      </c>
      <c r="H2694" s="5" t="s">
        <v>20</v>
      </c>
      <c r="I2694" s="5" t="s">
        <v>6367</v>
      </c>
      <c r="J2694" s="12" t="str">
        <f>HYPERLINK("https://www.boe.es/gazeta/dias/1807/10/16/pdfs/GMD-1807-93.pdf#page=8","Abrir facsímil")</f>
        <v>Abrir facsímil</v>
      </c>
      <c r="K2694" s="15" t="s">
        <v>22</v>
      </c>
    </row>
    <row r="2695" spans="1:11" ht="42" customHeight="1">
      <c r="A2695" s="4" t="s">
        <v>6368</v>
      </c>
      <c r="B2695" s="5" t="s">
        <v>6368</v>
      </c>
      <c r="C2695" s="5" t="s">
        <v>28</v>
      </c>
      <c r="D2695" s="5" t="s">
        <v>29</v>
      </c>
      <c r="E2695" s="5" t="s">
        <v>1177</v>
      </c>
      <c r="F2695" s="9">
        <v>101</v>
      </c>
      <c r="G2695" s="9">
        <v>1179</v>
      </c>
      <c r="H2695" s="5" t="s">
        <v>20</v>
      </c>
      <c r="I2695" s="5" t="s">
        <v>6369</v>
      </c>
      <c r="J2695" s="12" t="str">
        <f>HYPERLINK("https://www.boe.es/gazeta/dias/1807/11/13/pdfs/GMD-1807-101.pdf#page=11","Abrir facsímil")</f>
        <v>Abrir facsímil</v>
      </c>
      <c r="K2695" s="15" t="s">
        <v>22</v>
      </c>
    </row>
    <row r="2696" spans="1:11" ht="42" customHeight="1">
      <c r="A2696" s="4" t="s">
        <v>6370</v>
      </c>
      <c r="B2696" s="5" t="s">
        <v>6370</v>
      </c>
      <c r="C2696" s="5" t="s">
        <v>28</v>
      </c>
      <c r="D2696" s="5" t="s">
        <v>29</v>
      </c>
      <c r="E2696" s="5" t="s">
        <v>422</v>
      </c>
      <c r="F2696" s="9">
        <v>33</v>
      </c>
      <c r="G2696" s="9">
        <v>392</v>
      </c>
      <c r="H2696" s="5" t="s">
        <v>20</v>
      </c>
      <c r="I2696" s="5" t="s">
        <v>6371</v>
      </c>
      <c r="J2696" s="12" t="str">
        <f>HYPERLINK("https://www.boe.es/gazeta/dias/1807/04/14/pdfs/GMD-1807-33.pdf#page=8","Abrir facsímil")</f>
        <v>Abrir facsímil</v>
      </c>
      <c r="K2696" s="15" t="s">
        <v>22</v>
      </c>
    </row>
    <row r="2697" spans="1:11" ht="42" customHeight="1">
      <c r="A2697" s="4" t="s">
        <v>6372</v>
      </c>
      <c r="B2697" s="5" t="s">
        <v>6372</v>
      </c>
      <c r="C2697" s="5" t="s">
        <v>34</v>
      </c>
      <c r="D2697" s="5" t="s">
        <v>35</v>
      </c>
      <c r="E2697" s="5" t="s">
        <v>186</v>
      </c>
      <c r="F2697" s="9">
        <v>72</v>
      </c>
      <c r="G2697" s="9">
        <v>828</v>
      </c>
      <c r="H2697" s="5" t="s">
        <v>20</v>
      </c>
      <c r="I2697" s="5" t="s">
        <v>6373</v>
      </c>
      <c r="J2697" s="12" t="str">
        <f>HYPERLINK("https://www.boe.es/gazeta/dias/1807/08/11/pdfs/GMD-1807-72.pdf#page=8","Abrir facsímil")</f>
        <v>Abrir facsímil</v>
      </c>
      <c r="K2697" s="15" t="s">
        <v>22</v>
      </c>
    </row>
    <row r="2698" spans="1:11" ht="42" customHeight="1">
      <c r="A2698" s="4" t="s">
        <v>6374</v>
      </c>
      <c r="B2698" s="5" t="s">
        <v>6374</v>
      </c>
      <c r="C2698" s="5" t="s">
        <v>34</v>
      </c>
      <c r="D2698" s="5" t="s">
        <v>35</v>
      </c>
      <c r="E2698" s="5" t="s">
        <v>114</v>
      </c>
      <c r="F2698" s="9">
        <v>46</v>
      </c>
      <c r="G2698" s="9">
        <v>552</v>
      </c>
      <c r="H2698" s="5" t="s">
        <v>20</v>
      </c>
      <c r="I2698" s="5" t="s">
        <v>6375</v>
      </c>
      <c r="J2698" s="12" t="str">
        <f>HYPERLINK("https://www.boe.es/gazeta/dias/1807/05/29/pdfs/GMD-1807-46.pdf#page=10","Abrir facsímil")</f>
        <v>Abrir facsímil</v>
      </c>
      <c r="K2698" s="15" t="s">
        <v>22</v>
      </c>
    </row>
    <row r="2699" spans="1:11" ht="42" customHeight="1">
      <c r="A2699" s="4" t="s">
        <v>6374</v>
      </c>
      <c r="B2699" s="5" t="s">
        <v>6374</v>
      </c>
      <c r="C2699" s="5" t="s">
        <v>34</v>
      </c>
      <c r="D2699" s="5" t="s">
        <v>35</v>
      </c>
      <c r="E2699" s="5" t="s">
        <v>305</v>
      </c>
      <c r="F2699" s="9">
        <v>53</v>
      </c>
      <c r="G2699" s="9">
        <v>636</v>
      </c>
      <c r="H2699" s="5" t="s">
        <v>20</v>
      </c>
      <c r="I2699" s="5" t="s">
        <v>6376</v>
      </c>
      <c r="J2699" s="12" t="str">
        <f>HYPERLINK("https://www.boe.es/gazeta/dias/1807/06/23/pdfs/GMD-1807-53.pdf#page=10","Abrir facsímil")</f>
        <v>Abrir facsímil</v>
      </c>
      <c r="K2699" s="15" t="s">
        <v>22</v>
      </c>
    </row>
    <row r="2700" spans="1:11" ht="42" customHeight="1">
      <c r="A2700" s="4" t="s">
        <v>6377</v>
      </c>
      <c r="B2700" s="5" t="s">
        <v>6377</v>
      </c>
      <c r="C2700" s="5" t="s">
        <v>34</v>
      </c>
      <c r="D2700" s="5" t="s">
        <v>35</v>
      </c>
      <c r="E2700" s="5" t="s">
        <v>615</v>
      </c>
      <c r="F2700" s="9" t="s">
        <v>616</v>
      </c>
      <c r="G2700" s="9">
        <v>999</v>
      </c>
      <c r="H2700" s="5" t="s">
        <v>20</v>
      </c>
      <c r="I2700" s="5" t="s">
        <v>6378</v>
      </c>
      <c r="J2700" s="12" t="str">
        <f>HYPERLINK("https://www.boe.es/gazeta/dias/1807/09/27/pdfs/GMD-1807-86E.pdf#page=3","Abrir facsímil")</f>
        <v>Abrir facsímil</v>
      </c>
      <c r="K2700" s="15" t="s">
        <v>22</v>
      </c>
    </row>
    <row r="2701" spans="1:11" ht="42" customHeight="1">
      <c r="A2701" s="4" t="s">
        <v>6379</v>
      </c>
      <c r="B2701" s="5" t="s">
        <v>6379</v>
      </c>
      <c r="C2701" s="5" t="s">
        <v>28</v>
      </c>
      <c r="D2701" s="5" t="s">
        <v>29</v>
      </c>
      <c r="E2701" s="5" t="s">
        <v>139</v>
      </c>
      <c r="F2701" s="9">
        <v>110</v>
      </c>
      <c r="G2701" s="9">
        <v>1284</v>
      </c>
      <c r="H2701" s="5" t="s">
        <v>20</v>
      </c>
      <c r="I2701" s="5" t="s">
        <v>6380</v>
      </c>
      <c r="J2701" s="12" t="str">
        <f>HYPERLINK("https://www.boe.es/gazeta/dias/1807/12/11/pdfs/GMD-1807-110.pdf#page=8","Abrir facsímil")</f>
        <v>Abrir facsímil</v>
      </c>
      <c r="K2701" s="15" t="s">
        <v>22</v>
      </c>
    </row>
    <row r="2702" spans="1:11" ht="42" customHeight="1">
      <c r="A2702" s="4" t="s">
        <v>6381</v>
      </c>
      <c r="B2702" s="5" t="s">
        <v>6381</v>
      </c>
      <c r="C2702" s="5" t="s">
        <v>17</v>
      </c>
      <c r="D2702" s="5" t="s">
        <v>18</v>
      </c>
      <c r="E2702" s="5" t="s">
        <v>167</v>
      </c>
      <c r="F2702" s="9">
        <v>77</v>
      </c>
      <c r="G2702" s="9">
        <v>891</v>
      </c>
      <c r="H2702" s="5" t="s">
        <v>20</v>
      </c>
      <c r="I2702" s="5" t="s">
        <v>6382</v>
      </c>
      <c r="J2702" s="12" t="str">
        <f>HYPERLINK("https://www.boe.es/gazeta/dias/1807/08/28/pdfs/GMD-1807-77.pdf#page=7","Abrir facsímil")</f>
        <v>Abrir facsímil</v>
      </c>
      <c r="K2702" s="15" t="s">
        <v>22</v>
      </c>
    </row>
    <row r="2703" spans="1:11" ht="42" customHeight="1">
      <c r="A2703" s="4" t="s">
        <v>6383</v>
      </c>
      <c r="B2703" s="5" t="s">
        <v>6383</v>
      </c>
      <c r="C2703" s="5" t="s">
        <v>28</v>
      </c>
      <c r="D2703" s="5" t="s">
        <v>29</v>
      </c>
      <c r="E2703" s="5" t="s">
        <v>221</v>
      </c>
      <c r="F2703" s="9">
        <v>73</v>
      </c>
      <c r="G2703" s="9">
        <v>844</v>
      </c>
      <c r="H2703" s="5" t="s">
        <v>20</v>
      </c>
      <c r="I2703" s="5" t="s">
        <v>6384</v>
      </c>
      <c r="J2703" s="12" t="str">
        <f>HYPERLINK("https://www.boe.es/gazeta/dias/1807/08/14/pdfs/GMD-1807-73.pdf#page=8","Abrir facsímil")</f>
        <v>Abrir facsímil</v>
      </c>
      <c r="K2703" s="15" t="s">
        <v>22</v>
      </c>
    </row>
    <row r="2704" spans="1:11" ht="42" customHeight="1">
      <c r="A2704" s="4" t="s">
        <v>6385</v>
      </c>
      <c r="B2704" s="5" t="s">
        <v>6385</v>
      </c>
      <c r="C2704" s="5" t="s">
        <v>24</v>
      </c>
      <c r="D2704" s="5" t="s">
        <v>18</v>
      </c>
      <c r="E2704" s="5" t="s">
        <v>305</v>
      </c>
      <c r="F2704" s="9">
        <v>53</v>
      </c>
      <c r="G2704" s="9">
        <v>635</v>
      </c>
      <c r="H2704" s="5" t="s">
        <v>20</v>
      </c>
      <c r="I2704" s="5" t="s">
        <v>6386</v>
      </c>
      <c r="J2704" s="12" t="str">
        <f>HYPERLINK("https://www.boe.es/gazeta/dias/1807/06/23/pdfs/GMD-1807-53.pdf#page=9","Abrir facsímil")</f>
        <v>Abrir facsímil</v>
      </c>
      <c r="K2704" s="15" t="s">
        <v>22</v>
      </c>
    </row>
    <row r="2705" spans="1:11" ht="42" customHeight="1">
      <c r="A2705" s="4" t="s">
        <v>6387</v>
      </c>
      <c r="B2705" s="5" t="s">
        <v>6387</v>
      </c>
      <c r="C2705" s="5" t="s">
        <v>34</v>
      </c>
      <c r="D2705" s="5" t="s">
        <v>35</v>
      </c>
      <c r="E2705" s="5" t="s">
        <v>567</v>
      </c>
      <c r="F2705" s="9">
        <v>55</v>
      </c>
      <c r="G2705" s="9">
        <v>659</v>
      </c>
      <c r="H2705" s="5" t="s">
        <v>20</v>
      </c>
      <c r="I2705" s="5" t="s">
        <v>6388</v>
      </c>
      <c r="J2705" s="12" t="str">
        <f>HYPERLINK("https://www.boe.es/gazeta/dias/1807/06/30/pdfs/GMD-1807-55.pdf#page=9","Abrir facsímil")</f>
        <v>Abrir facsímil</v>
      </c>
      <c r="K2705" s="15" t="s">
        <v>22</v>
      </c>
    </row>
    <row r="2706" spans="1:11" ht="42" customHeight="1">
      <c r="A2706" s="4" t="s">
        <v>6389</v>
      </c>
      <c r="B2706" s="5" t="s">
        <v>6389</v>
      </c>
      <c r="C2706" s="5" t="s">
        <v>17</v>
      </c>
      <c r="D2706" s="5" t="s">
        <v>18</v>
      </c>
      <c r="E2706" s="5" t="s">
        <v>595</v>
      </c>
      <c r="F2706" s="9">
        <v>59</v>
      </c>
      <c r="G2706" s="9">
        <v>702</v>
      </c>
      <c r="H2706" s="5" t="s">
        <v>20</v>
      </c>
      <c r="I2706" s="5" t="s">
        <v>6390</v>
      </c>
      <c r="J2706" s="12" t="str">
        <f>HYPERLINK("https://www.boe.es/gazeta/dias/1807/07/10/pdfs/GMD-1807-59.pdf#page=8","Abrir facsímil")</f>
        <v>Abrir facsímil</v>
      </c>
      <c r="K2706" s="15" t="s">
        <v>22</v>
      </c>
    </row>
    <row r="2707" spans="1:11" ht="42" customHeight="1">
      <c r="A2707" s="4" t="s">
        <v>6391</v>
      </c>
      <c r="B2707" s="5" t="s">
        <v>6391</v>
      </c>
      <c r="C2707" s="5" t="s">
        <v>24</v>
      </c>
      <c r="D2707" s="5" t="s">
        <v>18</v>
      </c>
      <c r="E2707" s="5" t="s">
        <v>464</v>
      </c>
      <c r="F2707" s="9">
        <v>18</v>
      </c>
      <c r="G2707" s="9">
        <v>212</v>
      </c>
      <c r="H2707" s="5" t="s">
        <v>20</v>
      </c>
      <c r="I2707" s="5" t="s">
        <v>6392</v>
      </c>
      <c r="J2707" s="12" t="str">
        <f>HYPERLINK("https://www.boe.es/gazeta/dias/1807/02/24/pdfs/GMD-1807-18.pdf#page=12","Abrir facsímil")</f>
        <v>Abrir facsímil</v>
      </c>
      <c r="K2707" s="15" t="s">
        <v>22</v>
      </c>
    </row>
    <row r="2708" spans="1:11" ht="42" customHeight="1">
      <c r="A2708" s="4" t="s">
        <v>6393</v>
      </c>
      <c r="B2708" s="5" t="s">
        <v>6393</v>
      </c>
      <c r="C2708" s="5" t="s">
        <v>34</v>
      </c>
      <c r="D2708" s="5" t="s">
        <v>35</v>
      </c>
      <c r="E2708" s="5" t="s">
        <v>384</v>
      </c>
      <c r="F2708" s="9">
        <v>111</v>
      </c>
      <c r="G2708" s="9">
        <v>1298</v>
      </c>
      <c r="H2708" s="5" t="s">
        <v>20</v>
      </c>
      <c r="I2708" s="5" t="s">
        <v>6394</v>
      </c>
      <c r="J2708" s="12" t="str">
        <f>HYPERLINK("https://www.boe.es/gazeta/dias/1807/12/15/pdfs/GMD-1807-111.pdf#page=10","Abrir facsímil")</f>
        <v>Abrir facsímil</v>
      </c>
      <c r="K2708" s="15" t="s">
        <v>22</v>
      </c>
    </row>
    <row r="2709" spans="1:11" ht="42" customHeight="1">
      <c r="A2709" s="4" t="s">
        <v>6395</v>
      </c>
      <c r="B2709" s="5" t="s">
        <v>6395</v>
      </c>
      <c r="C2709" s="5" t="s">
        <v>89</v>
      </c>
      <c r="D2709" s="5" t="s">
        <v>90</v>
      </c>
      <c r="E2709" s="5" t="s">
        <v>309</v>
      </c>
      <c r="F2709" s="9">
        <v>107</v>
      </c>
      <c r="G2709" s="9">
        <v>1251</v>
      </c>
      <c r="H2709" s="5" t="s">
        <v>20</v>
      </c>
      <c r="I2709" s="5" t="s">
        <v>6396</v>
      </c>
      <c r="J2709" s="12" t="str">
        <f>HYPERLINK("https://www.boe.es/gazeta/dias/1807/12/01/pdfs/GMD-1807-107.pdf#page=11","Abrir facsímil")</f>
        <v>Abrir facsímil</v>
      </c>
      <c r="K2709" s="15" t="s">
        <v>22</v>
      </c>
    </row>
    <row r="2710" spans="1:11" ht="42" customHeight="1">
      <c r="A2710" s="4" t="s">
        <v>6397</v>
      </c>
      <c r="B2710" s="5" t="s">
        <v>6397</v>
      </c>
      <c r="C2710" s="5" t="s">
        <v>89</v>
      </c>
      <c r="D2710" s="5" t="s">
        <v>90</v>
      </c>
      <c r="E2710" s="5" t="s">
        <v>595</v>
      </c>
      <c r="F2710" s="9">
        <v>59</v>
      </c>
      <c r="G2710" s="9">
        <v>706</v>
      </c>
      <c r="H2710" s="5" t="s">
        <v>20</v>
      </c>
      <c r="I2710" s="5" t="s">
        <v>6398</v>
      </c>
      <c r="J2710" s="12" t="str">
        <f>HYPERLINK("https://www.boe.es/gazeta/dias/1807/07/10/pdfs/GMD-1807-59.pdf#page=12","Abrir facsímil")</f>
        <v>Abrir facsímil</v>
      </c>
      <c r="K2710" s="15" t="s">
        <v>22</v>
      </c>
    </row>
    <row r="2711" spans="1:11" ht="42" customHeight="1">
      <c r="A2711" s="4" t="s">
        <v>6399</v>
      </c>
      <c r="B2711" s="5" t="s">
        <v>6399</v>
      </c>
      <c r="C2711" s="5" t="s">
        <v>34</v>
      </c>
      <c r="D2711" s="5" t="s">
        <v>35</v>
      </c>
      <c r="E2711" s="5" t="s">
        <v>19</v>
      </c>
      <c r="F2711" s="9">
        <v>41</v>
      </c>
      <c r="G2711" s="9">
        <v>489</v>
      </c>
      <c r="H2711" s="5" t="s">
        <v>20</v>
      </c>
      <c r="I2711" s="5" t="s">
        <v>6400</v>
      </c>
      <c r="J2711" s="12" t="str">
        <f>HYPERLINK("https://www.boe.es/gazeta/dias/1807/05/12/pdfs/GMD-1807-41.pdf#page=7","Abrir facsímil")</f>
        <v>Abrir facsímil</v>
      </c>
      <c r="K2711" s="15" t="s">
        <v>22</v>
      </c>
    </row>
    <row r="2712" spans="1:11" ht="42" customHeight="1">
      <c r="A2712" s="4" t="s">
        <v>6401</v>
      </c>
      <c r="B2712" s="5" t="s">
        <v>6401</v>
      </c>
      <c r="C2712" s="5" t="s">
        <v>34</v>
      </c>
      <c r="D2712" s="5" t="s">
        <v>35</v>
      </c>
      <c r="E2712" s="5" t="s">
        <v>309</v>
      </c>
      <c r="F2712" s="9">
        <v>107</v>
      </c>
      <c r="G2712" s="9">
        <v>1248</v>
      </c>
      <c r="H2712" s="5" t="s">
        <v>20</v>
      </c>
      <c r="I2712" s="5" t="s">
        <v>6402</v>
      </c>
      <c r="J2712" s="12" t="str">
        <f>HYPERLINK("https://www.boe.es/gazeta/dias/1807/12/01/pdfs/GMD-1807-107.pdf#page=8","Abrir facsímil")</f>
        <v>Abrir facsímil</v>
      </c>
      <c r="K2712" s="15" t="s">
        <v>22</v>
      </c>
    </row>
    <row r="2713" spans="1:11" ht="42" customHeight="1">
      <c r="A2713" s="4" t="s">
        <v>6403</v>
      </c>
      <c r="B2713" s="5" t="s">
        <v>6403</v>
      </c>
      <c r="C2713" s="5" t="s">
        <v>34</v>
      </c>
      <c r="D2713" s="5" t="s">
        <v>35</v>
      </c>
      <c r="E2713" s="5" t="s">
        <v>282</v>
      </c>
      <c r="F2713" s="9">
        <v>16</v>
      </c>
      <c r="G2713" s="9">
        <v>185</v>
      </c>
      <c r="H2713" s="5" t="s">
        <v>20</v>
      </c>
      <c r="I2713" s="5" t="s">
        <v>6404</v>
      </c>
      <c r="J2713" s="12" t="str">
        <f>HYPERLINK("https://www.boe.es/gazeta/dias/1807/02/17/pdfs/GMD-1807-16.pdf#page=9","Abrir facsímil")</f>
        <v>Abrir facsímil</v>
      </c>
      <c r="K2713" s="15" t="s">
        <v>22</v>
      </c>
    </row>
    <row r="2714" spans="1:11" ht="42" customHeight="1">
      <c r="A2714" s="4" t="s">
        <v>6405</v>
      </c>
      <c r="B2714" s="5" t="s">
        <v>6405</v>
      </c>
      <c r="C2714" s="5" t="s">
        <v>28</v>
      </c>
      <c r="D2714" s="5" t="s">
        <v>29</v>
      </c>
      <c r="E2714" s="5" t="s">
        <v>167</v>
      </c>
      <c r="F2714" s="9">
        <v>77</v>
      </c>
      <c r="G2714" s="9">
        <v>891</v>
      </c>
      <c r="H2714" s="5" t="s">
        <v>20</v>
      </c>
      <c r="I2714" s="5" t="s">
        <v>6406</v>
      </c>
      <c r="J2714" s="12" t="str">
        <f>HYPERLINK("https://www.boe.es/gazeta/dias/1807/08/28/pdfs/GMD-1807-77.pdf#page=7","Abrir facsímil")</f>
        <v>Abrir facsímil</v>
      </c>
      <c r="K2714" s="15" t="s">
        <v>22</v>
      </c>
    </row>
    <row r="2715" spans="1:11" ht="42" customHeight="1">
      <c r="A2715" s="4" t="s">
        <v>6407</v>
      </c>
      <c r="B2715" s="5" t="s">
        <v>6408</v>
      </c>
      <c r="C2715" s="5" t="s">
        <v>49</v>
      </c>
      <c r="D2715" s="5" t="s">
        <v>50</v>
      </c>
      <c r="E2715" s="5" t="s">
        <v>305</v>
      </c>
      <c r="F2715" s="9">
        <v>53</v>
      </c>
      <c r="G2715" s="9">
        <v>635</v>
      </c>
      <c r="H2715" s="5" t="s">
        <v>20</v>
      </c>
      <c r="I2715" s="5" t="s">
        <v>6409</v>
      </c>
      <c r="J2715" s="12" t="str">
        <f>HYPERLINK("https://www.boe.es/gazeta/dias/1807/06/23/pdfs/GMD-1807-53.pdf#page=9","Abrir facsímil")</f>
        <v>Abrir facsímil</v>
      </c>
      <c r="K2715" s="15" t="s">
        <v>22</v>
      </c>
    </row>
    <row r="2716" spans="1:11" ht="42" customHeight="1">
      <c r="A2716" s="4" t="s">
        <v>6410</v>
      </c>
      <c r="B2716" s="5" t="s">
        <v>6410</v>
      </c>
      <c r="C2716" s="5" t="s">
        <v>34</v>
      </c>
      <c r="D2716" s="5" t="s">
        <v>35</v>
      </c>
      <c r="E2716" s="5" t="s">
        <v>620</v>
      </c>
      <c r="F2716" s="9">
        <v>84</v>
      </c>
      <c r="G2716" s="9">
        <v>981</v>
      </c>
      <c r="H2716" s="5" t="s">
        <v>20</v>
      </c>
      <c r="I2716" s="5" t="s">
        <v>6411</v>
      </c>
      <c r="J2716" s="12" t="str">
        <f>HYPERLINK("https://www.boe.es/gazeta/dias/1807/09/22/pdfs/GMD-1807-84.pdf#page=9","Abrir facsímil")</f>
        <v>Abrir facsímil</v>
      </c>
      <c r="K2716" s="15" t="s">
        <v>22</v>
      </c>
    </row>
    <row r="2717" spans="1:11" ht="42" customHeight="1">
      <c r="A2717" s="4" t="s">
        <v>6412</v>
      </c>
      <c r="B2717" s="5" t="s">
        <v>6412</v>
      </c>
      <c r="C2717" s="5" t="s">
        <v>28</v>
      </c>
      <c r="D2717" s="5" t="s">
        <v>29</v>
      </c>
      <c r="E2717" s="5" t="s">
        <v>346</v>
      </c>
      <c r="F2717" s="9">
        <v>21</v>
      </c>
      <c r="G2717" s="9">
        <v>246</v>
      </c>
      <c r="H2717" s="5" t="s">
        <v>20</v>
      </c>
      <c r="I2717" s="5" t="s">
        <v>6413</v>
      </c>
      <c r="J2717" s="12" t="str">
        <f>HYPERLINK("https://www.boe.es/gazeta/dias/1807/03/03/pdfs/GMD-1807-21.pdf#page=10","Abrir facsímil")</f>
        <v>Abrir facsímil</v>
      </c>
      <c r="K2717" s="15" t="s">
        <v>22</v>
      </c>
    </row>
    <row r="2718" spans="1:11" ht="42" customHeight="1">
      <c r="A2718" s="4" t="s">
        <v>6414</v>
      </c>
      <c r="B2718" s="5" t="s">
        <v>6414</v>
      </c>
      <c r="C2718" s="5" t="s">
        <v>34</v>
      </c>
      <c r="D2718" s="5" t="s">
        <v>35</v>
      </c>
      <c r="E2718" s="5" t="s">
        <v>123</v>
      </c>
      <c r="F2718" s="9">
        <v>70</v>
      </c>
      <c r="G2718" s="9">
        <v>806</v>
      </c>
      <c r="H2718" s="5" t="s">
        <v>20</v>
      </c>
      <c r="I2718" s="5" t="s">
        <v>6415</v>
      </c>
      <c r="J2718" s="12" t="str">
        <f>HYPERLINK("https://www.boe.es/gazeta/dias/1807/08/04/pdfs/GMD-1807-70.pdf#page=10","Abrir facsímil")</f>
        <v>Abrir facsímil</v>
      </c>
      <c r="K2718" s="15" t="s">
        <v>22</v>
      </c>
    </row>
    <row r="2719" spans="1:11" ht="42" customHeight="1">
      <c r="A2719" s="4" t="s">
        <v>6416</v>
      </c>
      <c r="B2719" s="5" t="s">
        <v>6416</v>
      </c>
      <c r="C2719" s="5" t="s">
        <v>17</v>
      </c>
      <c r="D2719" s="5" t="s">
        <v>18</v>
      </c>
      <c r="E2719" s="5" t="s">
        <v>507</v>
      </c>
      <c r="F2719" s="9">
        <v>48</v>
      </c>
      <c r="G2719" s="9">
        <v>570</v>
      </c>
      <c r="H2719" s="5" t="s">
        <v>20</v>
      </c>
      <c r="I2719" s="5" t="s">
        <v>6417</v>
      </c>
      <c r="J2719" s="12" t="str">
        <f>HYPERLINK("https://www.boe.es/gazeta/dias/1807/06/05/pdfs/GMD-1807-48.pdf#page=8","Abrir facsímil")</f>
        <v>Abrir facsímil</v>
      </c>
      <c r="K2719" s="15" t="s">
        <v>22</v>
      </c>
    </row>
    <row r="2720" spans="1:11" ht="42" customHeight="1">
      <c r="A2720" s="4" t="s">
        <v>6418</v>
      </c>
      <c r="B2720" s="5" t="s">
        <v>6418</v>
      </c>
      <c r="C2720" s="5" t="s">
        <v>24</v>
      </c>
      <c r="D2720" s="5" t="s">
        <v>18</v>
      </c>
      <c r="E2720" s="5" t="s">
        <v>81</v>
      </c>
      <c r="F2720" s="9">
        <v>49</v>
      </c>
      <c r="G2720" s="9">
        <v>585</v>
      </c>
      <c r="H2720" s="5" t="s">
        <v>20</v>
      </c>
      <c r="I2720" s="5" t="s">
        <v>6419</v>
      </c>
      <c r="J2720" s="12" t="str">
        <f>HYPERLINK("https://www.boe.es/gazeta/dias/1807/06/09/pdfs/GMD-1807-49.pdf#page=11","Abrir facsímil")</f>
        <v>Abrir facsímil</v>
      </c>
      <c r="K2720" s="15" t="s">
        <v>22</v>
      </c>
    </row>
    <row r="2721" spans="1:11" ht="42" customHeight="1">
      <c r="A2721" s="4" t="s">
        <v>6420</v>
      </c>
      <c r="B2721" s="5" t="s">
        <v>6420</v>
      </c>
      <c r="C2721" s="5" t="s">
        <v>24</v>
      </c>
      <c r="D2721" s="5" t="s">
        <v>18</v>
      </c>
      <c r="E2721" s="5" t="s">
        <v>46</v>
      </c>
      <c r="F2721" s="9">
        <v>78</v>
      </c>
      <c r="G2721" s="9">
        <v>904</v>
      </c>
      <c r="H2721" s="5" t="s">
        <v>20</v>
      </c>
      <c r="I2721" s="5" t="s">
        <v>6421</v>
      </c>
      <c r="J2721" s="12" t="str">
        <f>HYPERLINK("https://www.boe.es/gazeta/dias/1807/09/01/pdfs/GMD-1807-78.pdf#page=8","Abrir facsímil")</f>
        <v>Abrir facsímil</v>
      </c>
      <c r="K2721" s="15" t="s">
        <v>22</v>
      </c>
    </row>
    <row r="2722" spans="1:11" ht="42" customHeight="1">
      <c r="A2722" s="4" t="s">
        <v>6422</v>
      </c>
      <c r="B2722" s="5" t="s">
        <v>6422</v>
      </c>
      <c r="C2722" s="5" t="s">
        <v>17</v>
      </c>
      <c r="D2722" s="5" t="s">
        <v>18</v>
      </c>
      <c r="E2722" s="5" t="s">
        <v>350</v>
      </c>
      <c r="F2722" s="9">
        <v>112</v>
      </c>
      <c r="G2722" s="9">
        <v>1310</v>
      </c>
      <c r="H2722" s="5" t="s">
        <v>20</v>
      </c>
      <c r="I2722" s="5" t="s">
        <v>6423</v>
      </c>
      <c r="J2722" s="12" t="str">
        <f>HYPERLINK("https://www.boe.es/gazeta/dias/1807/12/18/pdfs/GMD-1807-112.pdf#page=10","Abrir facsímil")</f>
        <v>Abrir facsímil</v>
      </c>
      <c r="K2722" s="15" t="s">
        <v>22</v>
      </c>
    </row>
    <row r="2723" spans="1:11" ht="42" customHeight="1">
      <c r="A2723" s="4" t="s">
        <v>6424</v>
      </c>
      <c r="B2723" s="5" t="s">
        <v>6424</v>
      </c>
      <c r="C2723" s="5" t="s">
        <v>28</v>
      </c>
      <c r="D2723" s="5" t="s">
        <v>29</v>
      </c>
      <c r="E2723" s="5" t="s">
        <v>94</v>
      </c>
      <c r="F2723" s="9">
        <v>22</v>
      </c>
      <c r="G2723" s="9">
        <v>256</v>
      </c>
      <c r="H2723" s="5" t="s">
        <v>20</v>
      </c>
      <c r="I2723" s="5" t="s">
        <v>6425</v>
      </c>
      <c r="J2723" s="12" t="str">
        <f>HYPERLINK("https://www.boe.es/gazeta/dias/1807/03/06/pdfs/GMD-1807-22.pdf#page=8","Abrir facsímil")</f>
        <v>Abrir facsímil</v>
      </c>
      <c r="K2723" s="15" t="s">
        <v>22</v>
      </c>
    </row>
    <row r="2724" spans="1:11" ht="42" customHeight="1">
      <c r="A2724" s="4" t="s">
        <v>6426</v>
      </c>
      <c r="B2724" s="5" t="s">
        <v>6426</v>
      </c>
      <c r="C2724" s="5" t="s">
        <v>24</v>
      </c>
      <c r="D2724" s="5" t="s">
        <v>18</v>
      </c>
      <c r="E2724" s="5" t="s">
        <v>208</v>
      </c>
      <c r="F2724" s="9">
        <v>42</v>
      </c>
      <c r="G2724" s="9">
        <v>504</v>
      </c>
      <c r="H2724" s="5" t="s">
        <v>20</v>
      </c>
      <c r="I2724" s="5" t="s">
        <v>6427</v>
      </c>
      <c r="J2724" s="12" t="str">
        <f>HYPERLINK("https://www.boe.es/gazeta/dias/1807/05/15/pdfs/GMD-1807-42.pdf#page=10","Abrir facsímil")</f>
        <v>Abrir facsímil</v>
      </c>
      <c r="K2724" s="15" t="s">
        <v>22</v>
      </c>
    </row>
    <row r="2725" spans="1:11" ht="42" customHeight="1">
      <c r="A2725" s="4" t="s">
        <v>6428</v>
      </c>
      <c r="B2725" s="5" t="s">
        <v>6428</v>
      </c>
      <c r="C2725" s="5" t="s">
        <v>34</v>
      </c>
      <c r="D2725" s="5" t="s">
        <v>35</v>
      </c>
      <c r="E2725" s="5" t="s">
        <v>111</v>
      </c>
      <c r="F2725" s="9">
        <v>90</v>
      </c>
      <c r="G2725" s="9">
        <v>1044</v>
      </c>
      <c r="H2725" s="5" t="s">
        <v>20</v>
      </c>
      <c r="I2725" s="5" t="s">
        <v>6429</v>
      </c>
      <c r="J2725" s="12" t="str">
        <f>HYPERLINK("https://www.boe.es/gazeta/dias/1807/10/06/pdfs/GMD-1807-90.pdf#page=12","Abrir facsímil")</f>
        <v>Abrir facsímil</v>
      </c>
      <c r="K2725" s="15" t="s">
        <v>22</v>
      </c>
    </row>
    <row r="2726" spans="1:11" ht="42" customHeight="1">
      <c r="A2726" s="4" t="s">
        <v>6430</v>
      </c>
      <c r="B2726" s="5" t="s">
        <v>6430</v>
      </c>
      <c r="C2726" s="5" t="s">
        <v>17</v>
      </c>
      <c r="D2726" s="5" t="s">
        <v>18</v>
      </c>
      <c r="E2726" s="5" t="s">
        <v>131</v>
      </c>
      <c r="F2726" s="9">
        <v>28</v>
      </c>
      <c r="G2726" s="9">
        <v>334</v>
      </c>
      <c r="H2726" s="5" t="s">
        <v>20</v>
      </c>
      <c r="I2726" s="5" t="s">
        <v>6431</v>
      </c>
      <c r="J2726" s="12" t="str">
        <f>HYPERLINK("https://www.boe.es/gazeta/dias/1807/03/27/pdfs/GMD-1807-28.pdf#page=6","Abrir facsímil")</f>
        <v>Abrir facsímil</v>
      </c>
      <c r="K2726" s="15" t="s">
        <v>22</v>
      </c>
    </row>
    <row r="2727" spans="1:11" ht="42" customHeight="1">
      <c r="A2727" s="4" t="s">
        <v>6432</v>
      </c>
      <c r="B2727" s="5" t="s">
        <v>6432</v>
      </c>
      <c r="C2727" s="5" t="s">
        <v>34</v>
      </c>
      <c r="D2727" s="5" t="s">
        <v>35</v>
      </c>
      <c r="E2727" s="5" t="s">
        <v>595</v>
      </c>
      <c r="F2727" s="9">
        <v>59</v>
      </c>
      <c r="G2727" s="9">
        <v>703</v>
      </c>
      <c r="H2727" s="5" t="s">
        <v>20</v>
      </c>
      <c r="I2727" s="5" t="s">
        <v>6433</v>
      </c>
      <c r="J2727" s="12" t="str">
        <f>HYPERLINK("https://www.boe.es/gazeta/dias/1807/07/10/pdfs/GMD-1807-59.pdf#page=9","Abrir facsímil")</f>
        <v>Abrir facsímil</v>
      </c>
      <c r="K2727" s="15" t="s">
        <v>22</v>
      </c>
    </row>
    <row r="2728" spans="1:11" ht="42" customHeight="1">
      <c r="A2728" s="4" t="s">
        <v>6434</v>
      </c>
      <c r="B2728" s="5" t="s">
        <v>6434</v>
      </c>
      <c r="C2728" s="5" t="s">
        <v>34</v>
      </c>
      <c r="D2728" s="5" t="s">
        <v>35</v>
      </c>
      <c r="E2728" s="5" t="s">
        <v>104</v>
      </c>
      <c r="F2728" s="9">
        <v>25</v>
      </c>
      <c r="G2728" s="9">
        <v>300</v>
      </c>
      <c r="H2728" s="5" t="s">
        <v>20</v>
      </c>
      <c r="I2728" s="5" t="s">
        <v>6435</v>
      </c>
      <c r="J2728" s="12" t="str">
        <f>HYPERLINK("https://www.boe.es/gazeta/dias/1807/03/17/pdfs/GMD-1807-25.pdf#page=8","Abrir facsímil")</f>
        <v>Abrir facsímil</v>
      </c>
      <c r="K2728" s="15" t="s">
        <v>22</v>
      </c>
    </row>
    <row r="2729" spans="1:11" ht="42" customHeight="1">
      <c r="A2729" s="4" t="s">
        <v>6436</v>
      </c>
      <c r="B2729" s="5" t="s">
        <v>6436</v>
      </c>
      <c r="C2729" s="5" t="s">
        <v>34</v>
      </c>
      <c r="D2729" s="5" t="s">
        <v>35</v>
      </c>
      <c r="E2729" s="5" t="s">
        <v>46</v>
      </c>
      <c r="F2729" s="9">
        <v>78</v>
      </c>
      <c r="G2729" s="9">
        <v>905</v>
      </c>
      <c r="H2729" s="5" t="s">
        <v>20</v>
      </c>
      <c r="I2729" s="5" t="s">
        <v>6437</v>
      </c>
      <c r="J2729" s="12" t="str">
        <f>HYPERLINK("https://www.boe.es/gazeta/dias/1807/09/01/pdfs/GMD-1807-78.pdf#page=9","Abrir facsímil")</f>
        <v>Abrir facsímil</v>
      </c>
      <c r="K2729" s="15" t="s">
        <v>22</v>
      </c>
    </row>
    <row r="2730" spans="1:11" ht="42" customHeight="1">
      <c r="A2730" s="4" t="s">
        <v>6438</v>
      </c>
      <c r="B2730" s="5" t="s">
        <v>6438</v>
      </c>
      <c r="C2730" s="5" t="s">
        <v>28</v>
      </c>
      <c r="D2730" s="5" t="s">
        <v>29</v>
      </c>
      <c r="E2730" s="5" t="s">
        <v>361</v>
      </c>
      <c r="F2730" s="9">
        <v>113</v>
      </c>
      <c r="G2730" s="9">
        <v>1323</v>
      </c>
      <c r="H2730" s="5" t="s">
        <v>20</v>
      </c>
      <c r="I2730" s="5" t="s">
        <v>6439</v>
      </c>
      <c r="J2730" s="12" t="str">
        <f>HYPERLINK("https://www.boe.es/gazeta/dias/1807/12/22/pdfs/GMD-1807-113.pdf#page=11","Abrir facsímil")</f>
        <v>Abrir facsímil</v>
      </c>
      <c r="K2730" s="15" t="s">
        <v>22</v>
      </c>
    </row>
    <row r="2731" spans="1:11" ht="42" customHeight="1">
      <c r="A2731" s="4" t="s">
        <v>6440</v>
      </c>
      <c r="B2731" s="5" t="s">
        <v>6440</v>
      </c>
      <c r="C2731" s="5" t="s">
        <v>34</v>
      </c>
      <c r="D2731" s="5" t="s">
        <v>35</v>
      </c>
      <c r="E2731" s="5" t="s">
        <v>176</v>
      </c>
      <c r="F2731" s="9">
        <v>17</v>
      </c>
      <c r="G2731" s="9">
        <v>195</v>
      </c>
      <c r="H2731" s="5" t="s">
        <v>20</v>
      </c>
      <c r="I2731" s="5" t="s">
        <v>6441</v>
      </c>
      <c r="J2731" s="12" t="str">
        <f>HYPERLINK("https://www.boe.es/gazeta/dias/1807/02/20/pdfs/GMD-1807-17.pdf#page=7","Abrir facsímil")</f>
        <v>Abrir facsímil</v>
      </c>
      <c r="K2731" s="15" t="s">
        <v>22</v>
      </c>
    </row>
    <row r="2732" spans="1:11" ht="42" customHeight="1">
      <c r="A2732" s="4" t="s">
        <v>6442</v>
      </c>
      <c r="B2732" s="5" t="s">
        <v>6442</v>
      </c>
      <c r="C2732" s="5" t="s">
        <v>24</v>
      </c>
      <c r="D2732" s="5" t="s">
        <v>18</v>
      </c>
      <c r="E2732" s="5" t="s">
        <v>152</v>
      </c>
      <c r="F2732" s="9">
        <v>61</v>
      </c>
      <c r="G2732" s="9">
        <v>723</v>
      </c>
      <c r="H2732" s="5" t="s">
        <v>20</v>
      </c>
      <c r="I2732" s="5" t="s">
        <v>6443</v>
      </c>
      <c r="J2732" s="12" t="str">
        <f>HYPERLINK("https://www.boe.es/gazeta/dias/1807/07/14/pdfs/GMD-1807-61.pdf#page=9","Abrir facsímil")</f>
        <v>Abrir facsímil</v>
      </c>
      <c r="K2732" s="15" t="s">
        <v>22</v>
      </c>
    </row>
    <row r="2733" spans="1:11" ht="42" customHeight="1">
      <c r="A2733" s="4" t="s">
        <v>6444</v>
      </c>
      <c r="B2733" s="5" t="s">
        <v>6444</v>
      </c>
      <c r="C2733" s="5" t="s">
        <v>34</v>
      </c>
      <c r="D2733" s="5" t="s">
        <v>35</v>
      </c>
      <c r="E2733" s="5" t="s">
        <v>498</v>
      </c>
      <c r="F2733" s="9">
        <v>32</v>
      </c>
      <c r="G2733" s="9">
        <v>380</v>
      </c>
      <c r="H2733" s="5" t="s">
        <v>20</v>
      </c>
      <c r="I2733" s="5" t="s">
        <v>6445</v>
      </c>
      <c r="J2733" s="12" t="str">
        <f>HYPERLINK("https://www.boe.es/gazeta/dias/1807/04/10/pdfs/GMD-1807-32.pdf#page=8","Abrir facsímil")</f>
        <v>Abrir facsímil</v>
      </c>
      <c r="K2733" s="15" t="s">
        <v>22</v>
      </c>
    </row>
    <row r="2734" spans="1:11" ht="42" customHeight="1">
      <c r="A2734" s="4" t="s">
        <v>6446</v>
      </c>
      <c r="B2734" s="5" t="s">
        <v>6446</v>
      </c>
      <c r="C2734" s="5" t="s">
        <v>24</v>
      </c>
      <c r="D2734" s="5" t="s">
        <v>18</v>
      </c>
      <c r="E2734" s="5" t="s">
        <v>418</v>
      </c>
      <c r="F2734" s="9">
        <v>4</v>
      </c>
      <c r="G2734" s="9">
        <v>39</v>
      </c>
      <c r="H2734" s="5" t="s">
        <v>20</v>
      </c>
      <c r="I2734" s="5" t="s">
        <v>6447</v>
      </c>
      <c r="J2734" s="12" t="str">
        <f>HYPERLINK("https://www.boe.es/gazeta/dias/1807/01/13/pdfs/GMD-1807-4.pdf#page=7","Abrir facsímil")</f>
        <v>Abrir facsímil</v>
      </c>
      <c r="K2734" s="15" t="s">
        <v>22</v>
      </c>
    </row>
    <row r="2735" spans="1:11" ht="42" customHeight="1">
      <c r="A2735" s="4" t="s">
        <v>6448</v>
      </c>
      <c r="B2735" s="5" t="s">
        <v>6448</v>
      </c>
      <c r="C2735" s="5" t="s">
        <v>28</v>
      </c>
      <c r="D2735" s="5" t="s">
        <v>29</v>
      </c>
      <c r="E2735" s="5" t="s">
        <v>111</v>
      </c>
      <c r="F2735" s="9">
        <v>90</v>
      </c>
      <c r="G2735" s="9">
        <v>1045</v>
      </c>
      <c r="H2735" s="5" t="s">
        <v>20</v>
      </c>
      <c r="I2735" s="5" t="s">
        <v>6449</v>
      </c>
      <c r="J2735" s="12" t="str">
        <f>HYPERLINK("https://www.boe.es/gazeta/dias/1807/10/06/pdfs/GMD-1807-90.pdf#page=13","Abrir facsímil")</f>
        <v>Abrir facsímil</v>
      </c>
      <c r="K2735" s="15" t="s">
        <v>22</v>
      </c>
    </row>
    <row r="2736" spans="1:11" ht="42" customHeight="1">
      <c r="A2736" s="4" t="s">
        <v>6450</v>
      </c>
      <c r="B2736" s="5" t="s">
        <v>6450</v>
      </c>
      <c r="C2736" s="5" t="s">
        <v>28</v>
      </c>
      <c r="D2736" s="5" t="s">
        <v>29</v>
      </c>
      <c r="E2736" s="5" t="s">
        <v>561</v>
      </c>
      <c r="F2736" s="9">
        <v>44</v>
      </c>
      <c r="G2736" s="9">
        <v>524</v>
      </c>
      <c r="H2736" s="5" t="s">
        <v>20</v>
      </c>
      <c r="I2736" s="5" t="s">
        <v>6451</v>
      </c>
      <c r="J2736" s="12" t="str">
        <f>HYPERLINK("https://www.boe.es/gazeta/dias/1807/05/22/pdfs/GMD-1807-44.pdf#page=6","Abrir facsímil")</f>
        <v>Abrir facsímil</v>
      </c>
      <c r="K2736" s="15" t="s">
        <v>22</v>
      </c>
    </row>
    <row r="2737" spans="1:11" ht="42" customHeight="1">
      <c r="A2737" s="4" t="s">
        <v>6452</v>
      </c>
      <c r="B2737" s="5" t="s">
        <v>6452</v>
      </c>
      <c r="C2737" s="5" t="s">
        <v>89</v>
      </c>
      <c r="D2737" s="5" t="s">
        <v>90</v>
      </c>
      <c r="E2737" s="5" t="s">
        <v>620</v>
      </c>
      <c r="F2737" s="9">
        <v>84</v>
      </c>
      <c r="G2737" s="9">
        <v>983</v>
      </c>
      <c r="H2737" s="5" t="s">
        <v>20</v>
      </c>
      <c r="I2737" s="5" t="s">
        <v>6453</v>
      </c>
      <c r="J2737" s="12" t="str">
        <f>HYPERLINK("https://www.boe.es/gazeta/dias/1807/09/22/pdfs/GMD-1807-84.pdf#page=11","Abrir facsímil")</f>
        <v>Abrir facsímil</v>
      </c>
      <c r="K2737" s="15" t="s">
        <v>22</v>
      </c>
    </row>
    <row r="2738" spans="1:11" ht="42" customHeight="1">
      <c r="A2738" s="4" t="s">
        <v>6452</v>
      </c>
      <c r="B2738" s="5" t="s">
        <v>6452</v>
      </c>
      <c r="C2738" s="5" t="s">
        <v>24</v>
      </c>
      <c r="D2738" s="5" t="s">
        <v>18</v>
      </c>
      <c r="E2738" s="5" t="s">
        <v>441</v>
      </c>
      <c r="F2738" s="9">
        <v>92</v>
      </c>
      <c r="G2738" s="9">
        <v>1070</v>
      </c>
      <c r="H2738" s="5" t="s">
        <v>20</v>
      </c>
      <c r="I2738" s="5" t="s">
        <v>6454</v>
      </c>
      <c r="J2738" s="12" t="str">
        <f>HYPERLINK("https://www.boe.es/gazeta/dias/1807/10/13/pdfs/GMD-1807-92.pdf#page=10","Abrir facsímil")</f>
        <v>Abrir facsímil</v>
      </c>
      <c r="K2738" s="15" t="s">
        <v>22</v>
      </c>
    </row>
    <row r="2739" spans="1:11" ht="42" customHeight="1">
      <c r="A2739" s="4" t="s">
        <v>6452</v>
      </c>
      <c r="B2739" s="5" t="s">
        <v>6452</v>
      </c>
      <c r="C2739" s="5" t="s">
        <v>24</v>
      </c>
      <c r="D2739" s="5" t="s">
        <v>18</v>
      </c>
      <c r="E2739" s="5" t="s">
        <v>461</v>
      </c>
      <c r="F2739" s="9">
        <v>99</v>
      </c>
      <c r="G2739" s="9">
        <v>1154</v>
      </c>
      <c r="H2739" s="5" t="s">
        <v>20</v>
      </c>
      <c r="I2739" s="5" t="s">
        <v>6455</v>
      </c>
      <c r="J2739" s="12" t="str">
        <f>HYPERLINK("https://www.boe.es/gazeta/dias/1807/11/06/pdfs/GMD-1807-99.pdf#page=10","Abrir facsímil")</f>
        <v>Abrir facsímil</v>
      </c>
      <c r="K2739" s="15" t="s">
        <v>22</v>
      </c>
    </row>
    <row r="2740" spans="1:11" ht="42" customHeight="1">
      <c r="A2740" s="4" t="s">
        <v>6456</v>
      </c>
      <c r="B2740" s="5" t="s">
        <v>6456</v>
      </c>
      <c r="C2740" s="5" t="s">
        <v>17</v>
      </c>
      <c r="D2740" s="5" t="s">
        <v>18</v>
      </c>
      <c r="E2740" s="5" t="s">
        <v>190</v>
      </c>
      <c r="F2740" s="9">
        <v>37</v>
      </c>
      <c r="G2740" s="9">
        <v>440</v>
      </c>
      <c r="H2740" s="5" t="s">
        <v>20</v>
      </c>
      <c r="I2740" s="5" t="s">
        <v>6457</v>
      </c>
      <c r="J2740" s="12" t="str">
        <f>HYPERLINK("https://www.boe.es/gazeta/dias/1807/04/28/pdfs/GMD-1807-37.pdf#page=8","Abrir facsímil")</f>
        <v>Abrir facsímil</v>
      </c>
      <c r="K2740" s="15" t="s">
        <v>22</v>
      </c>
    </row>
    <row r="2741" spans="1:11" ht="42" customHeight="1">
      <c r="A2741" s="4" t="s">
        <v>6458</v>
      </c>
      <c r="B2741" s="5" t="s">
        <v>6458</v>
      </c>
      <c r="C2741" s="5" t="s">
        <v>28</v>
      </c>
      <c r="D2741" s="5" t="s">
        <v>29</v>
      </c>
      <c r="E2741" s="5" t="s">
        <v>91</v>
      </c>
      <c r="F2741" s="9">
        <v>109</v>
      </c>
      <c r="G2741" s="9">
        <v>1276</v>
      </c>
      <c r="H2741" s="5" t="s">
        <v>20</v>
      </c>
      <c r="I2741" s="5" t="s">
        <v>6459</v>
      </c>
      <c r="J2741" s="12" t="str">
        <f>HYPERLINK("https://www.boe.es/gazeta/dias/1807/12/08/pdfs/GMD-1807-109.pdf#page=12","Abrir facsímil")</f>
        <v>Abrir facsímil</v>
      </c>
      <c r="K2741" s="15" t="s">
        <v>22</v>
      </c>
    </row>
    <row r="2742" spans="1:11" ht="42" customHeight="1">
      <c r="A2742" s="4" t="s">
        <v>6460</v>
      </c>
      <c r="B2742" s="5" t="s">
        <v>6460</v>
      </c>
      <c r="C2742" s="5" t="s">
        <v>17</v>
      </c>
      <c r="D2742" s="5" t="s">
        <v>18</v>
      </c>
      <c r="E2742" s="5" t="s">
        <v>156</v>
      </c>
      <c r="F2742" s="9">
        <v>74</v>
      </c>
      <c r="G2742" s="9">
        <v>856</v>
      </c>
      <c r="H2742" s="5" t="s">
        <v>20</v>
      </c>
      <c r="I2742" s="5" t="s">
        <v>6461</v>
      </c>
      <c r="J2742" s="12" t="str">
        <f>HYPERLINK("https://www.boe.es/gazeta/dias/1807/08/18/pdfs/GMD-1807-74.pdf#page=8","Abrir facsímil")</f>
        <v>Abrir facsímil</v>
      </c>
      <c r="K2742" s="15" t="s">
        <v>22</v>
      </c>
    </row>
    <row r="2743" spans="1:11" ht="42" customHeight="1">
      <c r="A2743" s="4" t="s">
        <v>6462</v>
      </c>
      <c r="B2743" s="5" t="s">
        <v>6462</v>
      </c>
      <c r="C2743" s="5" t="s">
        <v>28</v>
      </c>
      <c r="D2743" s="5" t="s">
        <v>29</v>
      </c>
      <c r="E2743" s="5" t="s">
        <v>104</v>
      </c>
      <c r="F2743" s="9">
        <v>25</v>
      </c>
      <c r="G2743" s="9">
        <v>302</v>
      </c>
      <c r="H2743" s="5" t="s">
        <v>20</v>
      </c>
      <c r="I2743" s="5" t="s">
        <v>6463</v>
      </c>
      <c r="J2743" s="12" t="str">
        <f>HYPERLINK("https://www.boe.es/gazeta/dias/1807/03/17/pdfs/GMD-1807-25.pdf#page=10","Abrir facsímil")</f>
        <v>Abrir facsímil</v>
      </c>
      <c r="K2743" s="15" t="s">
        <v>22</v>
      </c>
    </row>
    <row r="2744" spans="1:11" ht="42" customHeight="1">
      <c r="A2744" s="4" t="s">
        <v>6464</v>
      </c>
      <c r="B2744" s="5" t="s">
        <v>6464</v>
      </c>
      <c r="C2744" s="5" t="s">
        <v>69</v>
      </c>
      <c r="D2744" s="5" t="s">
        <v>70</v>
      </c>
      <c r="E2744" s="5" t="s">
        <v>71</v>
      </c>
      <c r="F2744" s="9">
        <v>35</v>
      </c>
      <c r="G2744" s="9" t="s">
        <v>2055</v>
      </c>
      <c r="H2744" s="5" t="s">
        <v>20</v>
      </c>
      <c r="I2744" s="5" t="s">
        <v>6465</v>
      </c>
      <c r="J2744" s="12" t="str">
        <f>HYPERLINK("https://www.boe.es/gazeta/dias/1807/04/21/pdfs/C00001-00004.pdf#page=2","Abrir facsímil")</f>
        <v>Abrir facsímil</v>
      </c>
      <c r="K2744" s="15" t="s">
        <v>22</v>
      </c>
    </row>
    <row r="2745" spans="1:11" ht="42" customHeight="1">
      <c r="A2745" s="4" t="s">
        <v>6466</v>
      </c>
      <c r="B2745" s="5" t="s">
        <v>6466</v>
      </c>
      <c r="C2745" s="5" t="s">
        <v>24</v>
      </c>
      <c r="D2745" s="5" t="s">
        <v>18</v>
      </c>
      <c r="E2745" s="5" t="s">
        <v>91</v>
      </c>
      <c r="F2745" s="9">
        <v>109</v>
      </c>
      <c r="G2745" s="9">
        <v>1274</v>
      </c>
      <c r="H2745" s="5" t="s">
        <v>20</v>
      </c>
      <c r="I2745" s="5" t="s">
        <v>6467</v>
      </c>
      <c r="J2745" s="12" t="str">
        <f>HYPERLINK("https://www.boe.es/gazeta/dias/1807/12/08/pdfs/GMD-1807-109.pdf#page=10","Abrir facsímil")</f>
        <v>Abrir facsímil</v>
      </c>
      <c r="K2745" s="15" t="s">
        <v>22</v>
      </c>
    </row>
    <row r="2746" spans="1:11" ht="42" customHeight="1">
      <c r="A2746" s="4" t="s">
        <v>6468</v>
      </c>
      <c r="B2746" s="5" t="s">
        <v>6468</v>
      </c>
      <c r="C2746" s="5" t="s">
        <v>34</v>
      </c>
      <c r="D2746" s="5" t="s">
        <v>35</v>
      </c>
      <c r="E2746" s="5" t="s">
        <v>561</v>
      </c>
      <c r="F2746" s="9">
        <v>44</v>
      </c>
      <c r="G2746" s="9">
        <v>524</v>
      </c>
      <c r="H2746" s="5" t="s">
        <v>20</v>
      </c>
      <c r="I2746" s="5" t="s">
        <v>6469</v>
      </c>
      <c r="J2746" s="12" t="str">
        <f>HYPERLINK("https://www.boe.es/gazeta/dias/1807/05/22/pdfs/GMD-1807-44.pdf#page=6","Abrir facsímil")</f>
        <v>Abrir facsímil</v>
      </c>
      <c r="K2746" s="15" t="s">
        <v>22</v>
      </c>
    </row>
    <row r="2747" spans="1:11" ht="42" customHeight="1">
      <c r="A2747" s="4" t="s">
        <v>6470</v>
      </c>
      <c r="B2747" s="5" t="s">
        <v>6470</v>
      </c>
      <c r="C2747" s="5" t="s">
        <v>24</v>
      </c>
      <c r="D2747" s="5" t="s">
        <v>18</v>
      </c>
      <c r="E2747" s="5" t="s">
        <v>65</v>
      </c>
      <c r="F2747" s="9">
        <v>52</v>
      </c>
      <c r="G2747" s="9">
        <v>622</v>
      </c>
      <c r="H2747" s="5" t="s">
        <v>20</v>
      </c>
      <c r="I2747" s="5" t="s">
        <v>6471</v>
      </c>
      <c r="J2747" s="12" t="str">
        <f>HYPERLINK("https://www.boe.es/gazeta/dias/1807/06/19/pdfs/GMD-1807-52.pdf#page=12","Abrir facsímil")</f>
        <v>Abrir facsímil</v>
      </c>
      <c r="K2747" s="15" t="s">
        <v>22</v>
      </c>
    </row>
    <row r="2748" spans="1:11" ht="42" customHeight="1">
      <c r="A2748" s="4" t="s">
        <v>6470</v>
      </c>
      <c r="B2748" s="5" t="s">
        <v>6470</v>
      </c>
      <c r="C2748" s="5" t="s">
        <v>24</v>
      </c>
      <c r="D2748" s="5" t="s">
        <v>18</v>
      </c>
      <c r="E2748" s="5" t="s">
        <v>152</v>
      </c>
      <c r="F2748" s="9">
        <v>61</v>
      </c>
      <c r="G2748" s="9">
        <v>722</v>
      </c>
      <c r="H2748" s="5" t="s">
        <v>20</v>
      </c>
      <c r="I2748" s="5" t="s">
        <v>6472</v>
      </c>
      <c r="J2748" s="12" t="str">
        <f>HYPERLINK("https://www.boe.es/gazeta/dias/1807/07/14/pdfs/GMD-1807-61.pdf#page=8","Abrir facsímil")</f>
        <v>Abrir facsímil</v>
      </c>
      <c r="K2748" s="15" t="s">
        <v>22</v>
      </c>
    </row>
    <row r="2749" spans="1:11" ht="42" customHeight="1">
      <c r="A2749" s="4" t="s">
        <v>6470</v>
      </c>
      <c r="B2749" s="5" t="s">
        <v>6470</v>
      </c>
      <c r="C2749" s="5" t="s">
        <v>24</v>
      </c>
      <c r="D2749" s="5" t="s">
        <v>18</v>
      </c>
      <c r="E2749" s="5" t="s">
        <v>91</v>
      </c>
      <c r="F2749" s="9">
        <v>109</v>
      </c>
      <c r="G2749" s="9">
        <v>1274</v>
      </c>
      <c r="H2749" s="5" t="s">
        <v>20</v>
      </c>
      <c r="I2749" s="5" t="s">
        <v>6473</v>
      </c>
      <c r="J2749" s="12" t="str">
        <f>HYPERLINK("https://www.boe.es/gazeta/dias/1807/12/08/pdfs/GMD-1807-109.pdf#page=10","Abrir facsímil")</f>
        <v>Abrir facsímil</v>
      </c>
      <c r="K2749" s="15" t="s">
        <v>22</v>
      </c>
    </row>
    <row r="2750" spans="1:11" ht="42" customHeight="1">
      <c r="A2750" s="4" t="s">
        <v>6474</v>
      </c>
      <c r="B2750" s="5" t="s">
        <v>6474</v>
      </c>
      <c r="C2750" s="5" t="s">
        <v>28</v>
      </c>
      <c r="D2750" s="5" t="s">
        <v>29</v>
      </c>
      <c r="E2750" s="5" t="s">
        <v>620</v>
      </c>
      <c r="F2750" s="9">
        <v>84</v>
      </c>
      <c r="G2750" s="9">
        <v>982</v>
      </c>
      <c r="H2750" s="5" t="s">
        <v>20</v>
      </c>
      <c r="I2750" s="5" t="s">
        <v>6475</v>
      </c>
      <c r="J2750" s="12" t="str">
        <f>HYPERLINK("https://www.boe.es/gazeta/dias/1807/09/22/pdfs/GMD-1807-84.pdf#page=10","Abrir facsímil")</f>
        <v>Abrir facsímil</v>
      </c>
      <c r="K2750" s="15" t="s">
        <v>22</v>
      </c>
    </row>
    <row r="2751" spans="1:11" ht="42" customHeight="1">
      <c r="A2751" s="4" t="s">
        <v>6476</v>
      </c>
      <c r="B2751" s="5" t="s">
        <v>6477</v>
      </c>
      <c r="C2751" s="5" t="s">
        <v>34</v>
      </c>
      <c r="D2751" s="5" t="s">
        <v>35</v>
      </c>
      <c r="E2751" s="5" t="s">
        <v>109</v>
      </c>
      <c r="F2751" s="9">
        <v>58</v>
      </c>
      <c r="G2751" s="9">
        <v>688</v>
      </c>
      <c r="H2751" s="5" t="s">
        <v>20</v>
      </c>
      <c r="I2751" s="5" t="s">
        <v>6478</v>
      </c>
      <c r="J2751" s="12" t="str">
        <f>HYPERLINK("https://www.boe.es/gazeta/dias/1807/07/07/pdfs/GMD-1807-58.pdf#page=6","Abrir facsímil")</f>
        <v>Abrir facsímil</v>
      </c>
      <c r="K2751" s="15" t="s">
        <v>22</v>
      </c>
    </row>
    <row r="2752" spans="1:11" ht="42" customHeight="1">
      <c r="A2752" s="4" t="s">
        <v>6479</v>
      </c>
      <c r="B2752" s="5" t="s">
        <v>6479</v>
      </c>
      <c r="C2752" s="5" t="s">
        <v>28</v>
      </c>
      <c r="D2752" s="5" t="s">
        <v>29</v>
      </c>
      <c r="E2752" s="5" t="s">
        <v>65</v>
      </c>
      <c r="F2752" s="9">
        <v>52</v>
      </c>
      <c r="G2752" s="9">
        <v>622</v>
      </c>
      <c r="H2752" s="5" t="s">
        <v>20</v>
      </c>
      <c r="I2752" s="5" t="s">
        <v>6480</v>
      </c>
      <c r="J2752" s="12" t="str">
        <f>HYPERLINK("https://www.boe.es/gazeta/dias/1807/06/19/pdfs/GMD-1807-52.pdf#page=12","Abrir facsímil")</f>
        <v>Abrir facsímil</v>
      </c>
      <c r="K2752" s="15" t="s">
        <v>22</v>
      </c>
    </row>
    <row r="2753" spans="1:11" ht="42" customHeight="1">
      <c r="A2753" s="4" t="s">
        <v>6481</v>
      </c>
      <c r="B2753" s="5" t="s">
        <v>6481</v>
      </c>
      <c r="C2753" s="5" t="s">
        <v>28</v>
      </c>
      <c r="D2753" s="5" t="s">
        <v>29</v>
      </c>
      <c r="E2753" s="5" t="s">
        <v>46</v>
      </c>
      <c r="F2753" s="9">
        <v>78</v>
      </c>
      <c r="G2753" s="9">
        <v>904</v>
      </c>
      <c r="H2753" s="5" t="s">
        <v>20</v>
      </c>
      <c r="I2753" s="5" t="s">
        <v>6482</v>
      </c>
      <c r="J2753" s="12" t="str">
        <f>HYPERLINK("https://www.boe.es/gazeta/dias/1807/09/01/pdfs/GMD-1807-78.pdf#page=8","Abrir facsímil")</f>
        <v>Abrir facsímil</v>
      </c>
      <c r="K2753" s="15" t="s">
        <v>22</v>
      </c>
    </row>
    <row r="2754" spans="1:11" ht="42" customHeight="1">
      <c r="A2754" s="4" t="s">
        <v>6483</v>
      </c>
      <c r="B2754" s="5" t="s">
        <v>6483</v>
      </c>
      <c r="C2754" s="5" t="s">
        <v>28</v>
      </c>
      <c r="D2754" s="5" t="s">
        <v>29</v>
      </c>
      <c r="E2754" s="5" t="s">
        <v>131</v>
      </c>
      <c r="F2754" s="9">
        <v>28</v>
      </c>
      <c r="G2754" s="9">
        <v>334</v>
      </c>
      <c r="H2754" s="5" t="s">
        <v>20</v>
      </c>
      <c r="I2754" s="5" t="s">
        <v>6484</v>
      </c>
      <c r="J2754" s="12" t="str">
        <f>HYPERLINK("https://www.boe.es/gazeta/dias/1807/03/27/pdfs/GMD-1807-28.pdf#page=6","Abrir facsímil")</f>
        <v>Abrir facsímil</v>
      </c>
      <c r="K2754" s="15" t="s">
        <v>22</v>
      </c>
    </row>
    <row r="2755" spans="1:11" ht="42" customHeight="1">
      <c r="A2755" s="4" t="s">
        <v>6485</v>
      </c>
      <c r="B2755" s="5" t="s">
        <v>6485</v>
      </c>
      <c r="C2755" s="5" t="s">
        <v>34</v>
      </c>
      <c r="D2755" s="5" t="s">
        <v>35</v>
      </c>
      <c r="E2755" s="5" t="s">
        <v>464</v>
      </c>
      <c r="F2755" s="9">
        <v>18</v>
      </c>
      <c r="G2755" s="9">
        <v>212</v>
      </c>
      <c r="H2755" s="5" t="s">
        <v>20</v>
      </c>
      <c r="I2755" s="5" t="s">
        <v>6486</v>
      </c>
      <c r="J2755" s="12" t="str">
        <f>HYPERLINK("https://www.boe.es/gazeta/dias/1807/02/24/pdfs/GMD-1807-18.pdf#page=12","Abrir facsímil")</f>
        <v>Abrir facsímil</v>
      </c>
      <c r="K2755" s="15" t="s">
        <v>22</v>
      </c>
    </row>
    <row r="2756" spans="1:11" ht="42" customHeight="1">
      <c r="A2756" s="4" t="s">
        <v>6487</v>
      </c>
      <c r="B2756" s="5" t="s">
        <v>6487</v>
      </c>
      <c r="C2756" s="5" t="s">
        <v>28</v>
      </c>
      <c r="D2756" s="5" t="s">
        <v>29</v>
      </c>
      <c r="E2756" s="5" t="s">
        <v>139</v>
      </c>
      <c r="F2756" s="9">
        <v>110</v>
      </c>
      <c r="G2756" s="9">
        <v>1284</v>
      </c>
      <c r="H2756" s="5" t="s">
        <v>20</v>
      </c>
      <c r="I2756" s="5" t="s">
        <v>6488</v>
      </c>
      <c r="J2756" s="12" t="str">
        <f>HYPERLINK("https://www.boe.es/gazeta/dias/1807/12/11/pdfs/GMD-1807-110.pdf#page=8","Abrir facsímil")</f>
        <v>Abrir facsímil</v>
      </c>
      <c r="K2756" s="15" t="s">
        <v>22</v>
      </c>
    </row>
    <row r="2757" spans="1:11" ht="42" customHeight="1">
      <c r="A2757" s="4" t="s">
        <v>6489</v>
      </c>
      <c r="B2757" s="5" t="s">
        <v>6489</v>
      </c>
      <c r="C2757" s="5" t="s">
        <v>34</v>
      </c>
      <c r="D2757" s="5" t="s">
        <v>35</v>
      </c>
      <c r="E2757" s="5" t="s">
        <v>114</v>
      </c>
      <c r="F2757" s="9">
        <v>46</v>
      </c>
      <c r="G2757" s="9">
        <v>549</v>
      </c>
      <c r="H2757" s="5" t="s">
        <v>20</v>
      </c>
      <c r="I2757" s="5" t="s">
        <v>6490</v>
      </c>
      <c r="J2757" s="12" t="str">
        <f>HYPERLINK("https://www.boe.es/gazeta/dias/1807/05/29/pdfs/GMD-1807-46.pdf#page=7","Abrir facsímil")</f>
        <v>Abrir facsímil</v>
      </c>
      <c r="K2757" s="15" t="s">
        <v>22</v>
      </c>
    </row>
    <row r="2758" spans="1:11" ht="42" customHeight="1">
      <c r="A2758" s="4" t="s">
        <v>6491</v>
      </c>
      <c r="B2758" s="5" t="s">
        <v>6491</v>
      </c>
      <c r="C2758" s="5" t="s">
        <v>34</v>
      </c>
      <c r="D2758" s="5" t="s">
        <v>35</v>
      </c>
      <c r="E2758" s="5" t="s">
        <v>309</v>
      </c>
      <c r="F2758" s="9">
        <v>107</v>
      </c>
      <c r="G2758" s="9">
        <v>1247</v>
      </c>
      <c r="H2758" s="5" t="s">
        <v>20</v>
      </c>
      <c r="I2758" s="5" t="s">
        <v>6492</v>
      </c>
      <c r="J2758" s="12" t="str">
        <f>HYPERLINK("https://www.boe.es/gazeta/dias/1807/12/01/pdfs/GMD-1807-107.pdf#page=7","Abrir facsímil")</f>
        <v>Abrir facsímil</v>
      </c>
      <c r="K2758" s="15" t="s">
        <v>22</v>
      </c>
    </row>
    <row r="2759" spans="1:11" ht="42" customHeight="1">
      <c r="A2759" s="4" t="s">
        <v>6493</v>
      </c>
      <c r="B2759" s="5" t="s">
        <v>6493</v>
      </c>
      <c r="C2759" s="5" t="s">
        <v>89</v>
      </c>
      <c r="D2759" s="5" t="s">
        <v>90</v>
      </c>
      <c r="E2759" s="5" t="s">
        <v>507</v>
      </c>
      <c r="F2759" s="9">
        <v>48</v>
      </c>
      <c r="G2759" s="9">
        <v>574</v>
      </c>
      <c r="H2759" s="5" t="s">
        <v>20</v>
      </c>
      <c r="I2759" s="5" t="s">
        <v>6494</v>
      </c>
      <c r="J2759" s="12" t="str">
        <f>HYPERLINK("https://www.boe.es/gazeta/dias/1807/06/05/pdfs/GMD-1807-48.pdf#page=12","Abrir facsímil")</f>
        <v>Abrir facsímil</v>
      </c>
      <c r="K2759" s="15" t="s">
        <v>22</v>
      </c>
    </row>
    <row r="2760" spans="1:11" ht="42" customHeight="1">
      <c r="A2760" s="4" t="s">
        <v>6493</v>
      </c>
      <c r="B2760" s="5" t="s">
        <v>6493</v>
      </c>
      <c r="C2760" s="5" t="s">
        <v>89</v>
      </c>
      <c r="D2760" s="5" t="s">
        <v>90</v>
      </c>
      <c r="E2760" s="5" t="s">
        <v>321</v>
      </c>
      <c r="F2760" s="9">
        <v>75</v>
      </c>
      <c r="G2760" s="9">
        <v>872</v>
      </c>
      <c r="H2760" s="5" t="s">
        <v>20</v>
      </c>
      <c r="I2760" s="5" t="s">
        <v>6495</v>
      </c>
      <c r="J2760" s="12" t="str">
        <f>HYPERLINK("https://www.boe.es/gazeta/dias/1807/08/21/pdfs/GMD-1807-75.pdf#page=12","Abrir facsímil")</f>
        <v>Abrir facsímil</v>
      </c>
      <c r="K2760" s="15" t="s">
        <v>22</v>
      </c>
    </row>
    <row r="2761" spans="1:11" ht="42" customHeight="1">
      <c r="A2761" s="4" t="s">
        <v>6493</v>
      </c>
      <c r="B2761" s="5" t="s">
        <v>6493</v>
      </c>
      <c r="C2761" s="5" t="s">
        <v>89</v>
      </c>
      <c r="D2761" s="5" t="s">
        <v>90</v>
      </c>
      <c r="E2761" s="5" t="s">
        <v>461</v>
      </c>
      <c r="F2761" s="9">
        <v>99</v>
      </c>
      <c r="G2761" s="9">
        <v>1156</v>
      </c>
      <c r="H2761" s="5" t="s">
        <v>20</v>
      </c>
      <c r="I2761" s="5" t="s">
        <v>6496</v>
      </c>
      <c r="J2761" s="12" t="str">
        <f>HYPERLINK("https://www.boe.es/gazeta/dias/1807/11/06/pdfs/GMD-1807-99.pdf#page=12","Abrir facsímil")</f>
        <v>Abrir facsímil</v>
      </c>
      <c r="K2761" s="15" t="s">
        <v>22</v>
      </c>
    </row>
    <row r="2762" spans="1:11" ht="42" customHeight="1">
      <c r="A2762" s="4" t="s">
        <v>6497</v>
      </c>
      <c r="B2762" s="5" t="s">
        <v>6497</v>
      </c>
      <c r="C2762" s="5" t="s">
        <v>34</v>
      </c>
      <c r="D2762" s="5" t="s">
        <v>35</v>
      </c>
      <c r="E2762" s="5" t="s">
        <v>111</v>
      </c>
      <c r="F2762" s="9">
        <v>90</v>
      </c>
      <c r="G2762" s="9">
        <v>1044</v>
      </c>
      <c r="H2762" s="5" t="s">
        <v>20</v>
      </c>
      <c r="I2762" s="5" t="s">
        <v>6498</v>
      </c>
      <c r="J2762" s="12" t="str">
        <f>HYPERLINK("https://www.boe.es/gazeta/dias/1807/10/06/pdfs/GMD-1807-90.pdf#page=12","Abrir facsímil")</f>
        <v>Abrir facsímil</v>
      </c>
      <c r="K2762" s="15" t="s">
        <v>22</v>
      </c>
    </row>
    <row r="2763" spans="1:11" ht="42" customHeight="1">
      <c r="A2763" s="4" t="s">
        <v>6499</v>
      </c>
      <c r="B2763" s="5" t="s">
        <v>6499</v>
      </c>
      <c r="C2763" s="5" t="s">
        <v>17</v>
      </c>
      <c r="D2763" s="5" t="s">
        <v>18</v>
      </c>
      <c r="E2763" s="5" t="s">
        <v>361</v>
      </c>
      <c r="F2763" s="9">
        <v>113</v>
      </c>
      <c r="G2763" s="9">
        <v>1322</v>
      </c>
      <c r="H2763" s="5" t="s">
        <v>20</v>
      </c>
      <c r="I2763" s="5" t="s">
        <v>6500</v>
      </c>
      <c r="J2763" s="12" t="str">
        <f>HYPERLINK("https://www.boe.es/gazeta/dias/1807/12/22/pdfs/GMD-1807-113.pdf#page=10","Abrir facsímil")</f>
        <v>Abrir facsímil</v>
      </c>
      <c r="K2763" s="15" t="s">
        <v>22</v>
      </c>
    </row>
    <row r="2764" spans="1:11" ht="42" customHeight="1">
      <c r="A2764" s="4" t="s">
        <v>6501</v>
      </c>
      <c r="B2764" s="5" t="s">
        <v>6501</v>
      </c>
      <c r="C2764" s="5" t="s">
        <v>28</v>
      </c>
      <c r="D2764" s="5" t="s">
        <v>29</v>
      </c>
      <c r="E2764" s="5" t="s">
        <v>572</v>
      </c>
      <c r="F2764" s="9">
        <v>14</v>
      </c>
      <c r="G2764" s="9">
        <v>163</v>
      </c>
      <c r="H2764" s="5" t="s">
        <v>20</v>
      </c>
      <c r="I2764" s="5" t="s">
        <v>6502</v>
      </c>
      <c r="J2764" s="12" t="str">
        <f>HYPERLINK("https://www.boe.es/gazeta/dias/1807/02/10/pdfs/GMD-1807-14.pdf#page=11","Abrir facsímil")</f>
        <v>Abrir facsímil</v>
      </c>
      <c r="K2764" s="15" t="s">
        <v>22</v>
      </c>
    </row>
    <row r="2765" spans="1:11" ht="42" customHeight="1">
      <c r="A2765" s="4" t="s">
        <v>6503</v>
      </c>
      <c r="B2765" s="5" t="s">
        <v>6503</v>
      </c>
      <c r="C2765" s="5" t="s">
        <v>28</v>
      </c>
      <c r="D2765" s="5" t="s">
        <v>29</v>
      </c>
      <c r="E2765" s="5" t="s">
        <v>91</v>
      </c>
      <c r="F2765" s="9">
        <v>109</v>
      </c>
      <c r="G2765" s="9">
        <v>1273</v>
      </c>
      <c r="H2765" s="5" t="s">
        <v>20</v>
      </c>
      <c r="I2765" s="5" t="s">
        <v>6504</v>
      </c>
      <c r="J2765" s="12" t="str">
        <f>HYPERLINK("https://www.boe.es/gazeta/dias/1807/12/08/pdfs/GMD-1807-109.pdf#page=9","Abrir facsímil")</f>
        <v>Abrir facsímil</v>
      </c>
      <c r="K2765" s="15" t="s">
        <v>22</v>
      </c>
    </row>
    <row r="2766" spans="1:11" ht="42" customHeight="1">
      <c r="A2766" s="4" t="s">
        <v>6505</v>
      </c>
      <c r="B2766" s="5" t="s">
        <v>6505</v>
      </c>
      <c r="C2766" s="5" t="s">
        <v>34</v>
      </c>
      <c r="D2766" s="5" t="s">
        <v>35</v>
      </c>
      <c r="E2766" s="5" t="s">
        <v>94</v>
      </c>
      <c r="F2766" s="9">
        <v>22</v>
      </c>
      <c r="G2766" s="9">
        <v>256</v>
      </c>
      <c r="H2766" s="5" t="s">
        <v>20</v>
      </c>
      <c r="I2766" s="5" t="s">
        <v>6506</v>
      </c>
      <c r="J2766" s="12" t="str">
        <f>HYPERLINK("https://www.boe.es/gazeta/dias/1807/03/06/pdfs/GMD-1807-22.pdf#page=8","Abrir facsímil")</f>
        <v>Abrir facsímil</v>
      </c>
      <c r="K2766" s="15" t="s">
        <v>22</v>
      </c>
    </row>
    <row r="2767" spans="1:11" ht="42" customHeight="1">
      <c r="A2767" s="4" t="s">
        <v>6507</v>
      </c>
      <c r="B2767" s="5" t="s">
        <v>6507</v>
      </c>
      <c r="C2767" s="5" t="s">
        <v>34</v>
      </c>
      <c r="D2767" s="5" t="s">
        <v>35</v>
      </c>
      <c r="E2767" s="5" t="s">
        <v>111</v>
      </c>
      <c r="F2767" s="9">
        <v>90</v>
      </c>
      <c r="G2767" s="9">
        <v>1044</v>
      </c>
      <c r="H2767" s="5" t="s">
        <v>20</v>
      </c>
      <c r="I2767" s="5" t="s">
        <v>6508</v>
      </c>
      <c r="J2767" s="12" t="str">
        <f>HYPERLINK("https://www.boe.es/gazeta/dias/1807/10/06/pdfs/GMD-1807-90.pdf#page=12","Abrir facsímil")</f>
        <v>Abrir facsímil</v>
      </c>
      <c r="K2767" s="15" t="s">
        <v>22</v>
      </c>
    </row>
    <row r="2768" spans="1:11" ht="42" customHeight="1">
      <c r="A2768" s="4" t="s">
        <v>6509</v>
      </c>
      <c r="B2768" s="5" t="s">
        <v>6509</v>
      </c>
      <c r="C2768" s="5" t="s">
        <v>34</v>
      </c>
      <c r="D2768" s="5" t="s">
        <v>35</v>
      </c>
      <c r="E2768" s="5" t="s">
        <v>350</v>
      </c>
      <c r="F2768" s="9">
        <v>112</v>
      </c>
      <c r="G2768" s="9">
        <v>1311</v>
      </c>
      <c r="H2768" s="5" t="s">
        <v>20</v>
      </c>
      <c r="I2768" s="5" t="s">
        <v>6510</v>
      </c>
      <c r="J2768" s="12" t="str">
        <f>HYPERLINK("https://www.boe.es/gazeta/dias/1807/12/18/pdfs/GMD-1807-112.pdf#page=11","Abrir facsímil")</f>
        <v>Abrir facsímil</v>
      </c>
      <c r="K2768" s="15" t="s">
        <v>22</v>
      </c>
    </row>
    <row r="2769" spans="1:11" ht="42" customHeight="1">
      <c r="A2769" s="4" t="s">
        <v>6511</v>
      </c>
      <c r="B2769" s="5" t="s">
        <v>6512</v>
      </c>
      <c r="C2769" s="5" t="s">
        <v>17</v>
      </c>
      <c r="D2769" s="5" t="s">
        <v>18</v>
      </c>
      <c r="E2769" s="5" t="s">
        <v>25</v>
      </c>
      <c r="F2769" s="9">
        <v>45</v>
      </c>
      <c r="G2769" s="9">
        <v>536</v>
      </c>
      <c r="H2769" s="5" t="s">
        <v>20</v>
      </c>
      <c r="I2769" s="5" t="s">
        <v>6513</v>
      </c>
      <c r="J2769" s="12" t="str">
        <f>HYPERLINK("https://www.boe.es/gazeta/dias/1807/05/26/pdfs/GMD-1807-45.pdf#page=6","Abrir facsímil")</f>
        <v>Abrir facsímil</v>
      </c>
      <c r="K2769" s="15" t="s">
        <v>22</v>
      </c>
    </row>
    <row r="2770" spans="1:11" ht="42" customHeight="1">
      <c r="A2770" s="4" t="s">
        <v>6514</v>
      </c>
      <c r="B2770" s="5" t="s">
        <v>6514</v>
      </c>
      <c r="C2770" s="5" t="s">
        <v>28</v>
      </c>
      <c r="D2770" s="5" t="s">
        <v>29</v>
      </c>
      <c r="E2770" s="5" t="s">
        <v>62</v>
      </c>
      <c r="F2770" s="9">
        <v>68</v>
      </c>
      <c r="G2770" s="9">
        <v>787</v>
      </c>
      <c r="H2770" s="5" t="s">
        <v>20</v>
      </c>
      <c r="I2770" s="5" t="s">
        <v>6515</v>
      </c>
      <c r="J2770" s="12" t="str">
        <f>HYPERLINK("https://www.boe.es/gazeta/dias/1807/07/31/pdfs/GMD-1807-68.pdf#page=11","Abrir facsímil")</f>
        <v>Abrir facsímil</v>
      </c>
      <c r="K2770" s="15" t="s">
        <v>22</v>
      </c>
    </row>
    <row r="2771" spans="1:11" ht="42" customHeight="1">
      <c r="A2771" s="4" t="s">
        <v>6516</v>
      </c>
      <c r="B2771" s="5" t="s">
        <v>6516</v>
      </c>
      <c r="C2771" s="5" t="s">
        <v>34</v>
      </c>
      <c r="D2771" s="5" t="s">
        <v>35</v>
      </c>
      <c r="E2771" s="5" t="s">
        <v>83</v>
      </c>
      <c r="F2771" s="9">
        <v>50</v>
      </c>
      <c r="G2771" s="9">
        <v>595</v>
      </c>
      <c r="H2771" s="5" t="s">
        <v>20</v>
      </c>
      <c r="I2771" s="5" t="s">
        <v>6517</v>
      </c>
      <c r="J2771" s="12" t="str">
        <f>HYPERLINK("https://www.boe.es/gazeta/dias/1807/06/12/pdfs/GMD-1807-50.pdf#page=9","Abrir facsímil")</f>
        <v>Abrir facsímil</v>
      </c>
      <c r="K2771" s="15" t="s">
        <v>22</v>
      </c>
    </row>
    <row r="2772" spans="1:11" ht="42" customHeight="1">
      <c r="A2772" s="4" t="s">
        <v>6518</v>
      </c>
      <c r="B2772" s="5" t="s">
        <v>6518</v>
      </c>
      <c r="C2772" s="5" t="s">
        <v>17</v>
      </c>
      <c r="D2772" s="5" t="s">
        <v>18</v>
      </c>
      <c r="E2772" s="5" t="s">
        <v>595</v>
      </c>
      <c r="F2772" s="9">
        <v>59</v>
      </c>
      <c r="G2772" s="9">
        <v>702</v>
      </c>
      <c r="H2772" s="5" t="s">
        <v>20</v>
      </c>
      <c r="I2772" s="5" t="s">
        <v>6519</v>
      </c>
      <c r="J2772" s="12" t="str">
        <f>HYPERLINK("https://www.boe.es/gazeta/dias/1807/07/10/pdfs/GMD-1807-59.pdf#page=8","Abrir facsímil")</f>
        <v>Abrir facsímil</v>
      </c>
      <c r="K2772" s="15" t="s">
        <v>22</v>
      </c>
    </row>
    <row r="2773" spans="1:11" ht="42" customHeight="1">
      <c r="A2773" s="4" t="s">
        <v>6520</v>
      </c>
      <c r="B2773" s="5" t="s">
        <v>6520</v>
      </c>
      <c r="C2773" s="5" t="s">
        <v>28</v>
      </c>
      <c r="D2773" s="5" t="s">
        <v>29</v>
      </c>
      <c r="E2773" s="5" t="s">
        <v>101</v>
      </c>
      <c r="F2773" s="9">
        <v>23</v>
      </c>
      <c r="G2773" s="9">
        <v>270</v>
      </c>
      <c r="H2773" s="5" t="s">
        <v>20</v>
      </c>
      <c r="I2773" s="5" t="s">
        <v>6521</v>
      </c>
      <c r="J2773" s="12" t="str">
        <f>HYPERLINK("https://www.boe.es/gazeta/dias/1807/03/10/pdfs/GMD-1807-23.pdf#page=10","Abrir facsímil")</f>
        <v>Abrir facsímil</v>
      </c>
      <c r="K2773" s="15" t="s">
        <v>22</v>
      </c>
    </row>
    <row r="2774" spans="1:11" ht="42" customHeight="1">
      <c r="A2774" s="4" t="s">
        <v>6522</v>
      </c>
      <c r="B2774" s="5" t="s">
        <v>6522</v>
      </c>
      <c r="C2774" s="5" t="s">
        <v>34</v>
      </c>
      <c r="D2774" s="5" t="s">
        <v>35</v>
      </c>
      <c r="E2774" s="5" t="s">
        <v>179</v>
      </c>
      <c r="F2774" s="9">
        <v>100</v>
      </c>
      <c r="G2774" s="9">
        <v>1164</v>
      </c>
      <c r="H2774" s="5" t="s">
        <v>20</v>
      </c>
      <c r="I2774" s="5" t="s">
        <v>6523</v>
      </c>
      <c r="J2774" s="12" t="str">
        <f>HYPERLINK("https://www.boe.es/gazeta/dias/1807/11/10/pdfs/GMD-1807-100.pdf#page=8","Abrir facsímil")</f>
        <v>Abrir facsímil</v>
      </c>
      <c r="K2774" s="15" t="s">
        <v>22</v>
      </c>
    </row>
    <row r="2775" spans="1:11" ht="42" customHeight="1">
      <c r="A2775" s="4" t="s">
        <v>6524</v>
      </c>
      <c r="B2775" s="5" t="s">
        <v>6524</v>
      </c>
      <c r="C2775" s="5" t="s">
        <v>34</v>
      </c>
      <c r="D2775" s="5" t="s">
        <v>35</v>
      </c>
      <c r="E2775" s="5" t="s">
        <v>19</v>
      </c>
      <c r="F2775" s="9">
        <v>41</v>
      </c>
      <c r="G2775" s="9">
        <v>489</v>
      </c>
      <c r="H2775" s="5" t="s">
        <v>20</v>
      </c>
      <c r="I2775" s="5" t="s">
        <v>6525</v>
      </c>
      <c r="J2775" s="12" t="str">
        <f>HYPERLINK("https://www.boe.es/gazeta/dias/1807/05/12/pdfs/GMD-1807-41.pdf#page=7","Abrir facsímil")</f>
        <v>Abrir facsímil</v>
      </c>
      <c r="K2775" s="15" t="s">
        <v>22</v>
      </c>
    </row>
    <row r="2776" spans="1:11" ht="42" customHeight="1">
      <c r="A2776" s="4" t="s">
        <v>6526</v>
      </c>
      <c r="B2776" s="5" t="s">
        <v>6526</v>
      </c>
      <c r="C2776" s="5" t="s">
        <v>28</v>
      </c>
      <c r="D2776" s="5" t="s">
        <v>29</v>
      </c>
      <c r="E2776" s="5" t="s">
        <v>390</v>
      </c>
      <c r="F2776" s="9">
        <v>24</v>
      </c>
      <c r="G2776" s="9">
        <v>285</v>
      </c>
      <c r="H2776" s="5" t="s">
        <v>20</v>
      </c>
      <c r="I2776" s="5" t="s">
        <v>6527</v>
      </c>
      <c r="J2776" s="12" t="str">
        <f>HYPERLINK("https://www.boe.es/gazeta/dias/1807/03/13/pdfs/GMD-1807-24.pdf#page=9","Abrir facsímil")</f>
        <v>Abrir facsímil</v>
      </c>
      <c r="K2776" s="15" t="s">
        <v>22</v>
      </c>
    </row>
    <row r="2777" spans="1:11" ht="42" customHeight="1">
      <c r="A2777" s="4" t="s">
        <v>6528</v>
      </c>
      <c r="B2777" s="5" t="s">
        <v>6528</v>
      </c>
      <c r="C2777" s="5" t="s">
        <v>34</v>
      </c>
      <c r="D2777" s="5" t="s">
        <v>35</v>
      </c>
      <c r="E2777" s="5" t="s">
        <v>2914</v>
      </c>
      <c r="F2777" s="9">
        <v>29</v>
      </c>
      <c r="G2777" s="9">
        <v>345</v>
      </c>
      <c r="H2777" s="5" t="s">
        <v>20</v>
      </c>
      <c r="I2777" s="5" t="s">
        <v>6529</v>
      </c>
      <c r="J2777" s="12" t="str">
        <f>HYPERLINK("https://www.boe.es/gazeta/dias/1807/03/31/pdfs/GMD-1807-29.pdf#page=9","Abrir facsímil")</f>
        <v>Abrir facsímil</v>
      </c>
      <c r="K2777" s="15" t="s">
        <v>22</v>
      </c>
    </row>
    <row r="2778" spans="1:11" ht="42" customHeight="1">
      <c r="A2778" s="4" t="s">
        <v>6528</v>
      </c>
      <c r="B2778" s="5" t="s">
        <v>6528</v>
      </c>
      <c r="C2778" s="5" t="s">
        <v>34</v>
      </c>
      <c r="D2778" s="5" t="s">
        <v>35</v>
      </c>
      <c r="E2778" s="5" t="s">
        <v>654</v>
      </c>
      <c r="F2778" s="9">
        <v>94</v>
      </c>
      <c r="G2778" s="9">
        <v>1093</v>
      </c>
      <c r="H2778" s="5" t="s">
        <v>20</v>
      </c>
      <c r="I2778" s="5" t="s">
        <v>6530</v>
      </c>
      <c r="J2778" s="12" t="str">
        <f>HYPERLINK("https://www.boe.es/gazeta/dias/1807/10/20/pdfs/GMD-1807-94.pdf#page=9","Abrir facsímil")</f>
        <v>Abrir facsímil</v>
      </c>
      <c r="K2778" s="15" t="s">
        <v>22</v>
      </c>
    </row>
    <row r="2779" spans="1:11" ht="42" customHeight="1">
      <c r="A2779" s="4" t="s">
        <v>6531</v>
      </c>
      <c r="B2779" s="5" t="s">
        <v>6531</v>
      </c>
      <c r="C2779" s="5" t="s">
        <v>34</v>
      </c>
      <c r="D2779" s="5" t="s">
        <v>35</v>
      </c>
      <c r="E2779" s="5" t="s">
        <v>1456</v>
      </c>
      <c r="F2779" s="9">
        <v>98</v>
      </c>
      <c r="G2779" s="9">
        <v>1141</v>
      </c>
      <c r="H2779" s="5" t="s">
        <v>20</v>
      </c>
      <c r="I2779" s="5" t="s">
        <v>6532</v>
      </c>
      <c r="J2779" s="12" t="str">
        <f>HYPERLINK("https://www.boe.es/gazeta/dias/1807/11/03/pdfs/GMD-1807-98.pdf#page=9","Abrir facsímil")</f>
        <v>Abrir facsímil</v>
      </c>
      <c r="K2779" s="15" t="s">
        <v>22</v>
      </c>
    </row>
    <row r="2780" spans="1:11" ht="42" customHeight="1">
      <c r="A2780" s="4" t="s">
        <v>6533</v>
      </c>
      <c r="B2780" s="5" t="s">
        <v>6533</v>
      </c>
      <c r="C2780" s="5" t="s">
        <v>28</v>
      </c>
      <c r="D2780" s="5" t="s">
        <v>29</v>
      </c>
      <c r="E2780" s="5" t="s">
        <v>686</v>
      </c>
      <c r="F2780" s="9">
        <v>106</v>
      </c>
      <c r="G2780" s="9">
        <v>1237</v>
      </c>
      <c r="H2780" s="5" t="s">
        <v>20</v>
      </c>
      <c r="I2780" s="5" t="s">
        <v>6534</v>
      </c>
      <c r="J2780" s="12" t="str">
        <f>HYPERLINK("https://www.boe.es/gazeta/dias/1807/11/27/pdfs/GMD-1807-106.pdf#page=9","Abrir facsímil")</f>
        <v>Abrir facsímil</v>
      </c>
      <c r="K2780" s="15" t="s">
        <v>22</v>
      </c>
    </row>
    <row r="2781" spans="1:11" ht="42" customHeight="1">
      <c r="A2781" s="4" t="s">
        <v>6535</v>
      </c>
      <c r="B2781" s="5" t="s">
        <v>6535</v>
      </c>
      <c r="C2781" s="5" t="s">
        <v>34</v>
      </c>
      <c r="D2781" s="5" t="s">
        <v>35</v>
      </c>
      <c r="E2781" s="5" t="s">
        <v>221</v>
      </c>
      <c r="F2781" s="9">
        <v>73</v>
      </c>
      <c r="G2781" s="9">
        <v>844</v>
      </c>
      <c r="H2781" s="5" t="s">
        <v>20</v>
      </c>
      <c r="I2781" s="5" t="s">
        <v>6536</v>
      </c>
      <c r="J2781" s="12" t="str">
        <f>HYPERLINK("https://www.boe.es/gazeta/dias/1807/08/14/pdfs/GMD-1807-73.pdf#page=8","Abrir facsímil")</f>
        <v>Abrir facsímil</v>
      </c>
      <c r="K2781" s="15" t="s">
        <v>22</v>
      </c>
    </row>
    <row r="2782" spans="1:11" ht="42" customHeight="1">
      <c r="A2782" s="4" t="s">
        <v>6535</v>
      </c>
      <c r="B2782" s="5" t="s">
        <v>6535</v>
      </c>
      <c r="C2782" s="5" t="s">
        <v>34</v>
      </c>
      <c r="D2782" s="5" t="s">
        <v>35</v>
      </c>
      <c r="E2782" s="5" t="s">
        <v>441</v>
      </c>
      <c r="F2782" s="9">
        <v>92</v>
      </c>
      <c r="G2782" s="9">
        <v>1069</v>
      </c>
      <c r="H2782" s="5" t="s">
        <v>20</v>
      </c>
      <c r="I2782" s="5" t="s">
        <v>6537</v>
      </c>
      <c r="J2782" s="12" t="str">
        <f>HYPERLINK("https://www.boe.es/gazeta/dias/1807/10/13/pdfs/GMD-1807-92.pdf#page=9","Abrir facsímil")</f>
        <v>Abrir facsímil</v>
      </c>
      <c r="K2782" s="15" t="s">
        <v>22</v>
      </c>
    </row>
    <row r="2783" spans="1:11" ht="42" customHeight="1">
      <c r="A2783" s="4" t="s">
        <v>6538</v>
      </c>
      <c r="B2783" s="5" t="s">
        <v>6538</v>
      </c>
      <c r="C2783" s="5" t="s">
        <v>34</v>
      </c>
      <c r="D2783" s="5" t="s">
        <v>35</v>
      </c>
      <c r="E2783" s="5" t="s">
        <v>393</v>
      </c>
      <c r="F2783" s="9">
        <v>15</v>
      </c>
      <c r="G2783" s="9">
        <v>176</v>
      </c>
      <c r="H2783" s="5" t="s">
        <v>20</v>
      </c>
      <c r="I2783" s="5" t="s">
        <v>6539</v>
      </c>
      <c r="J2783" s="12" t="str">
        <f>HYPERLINK("https://www.boe.es/gazeta/dias/1807/02/13/pdfs/GMD-1807-15.pdf#page=12","Abrir facsímil")</f>
        <v>Abrir facsímil</v>
      </c>
      <c r="K2783" s="15" t="s">
        <v>22</v>
      </c>
    </row>
    <row r="2784" spans="1:11" ht="42" customHeight="1">
      <c r="A2784" s="4" t="s">
        <v>6540</v>
      </c>
      <c r="B2784" s="5" t="s">
        <v>6540</v>
      </c>
      <c r="C2784" s="5" t="s">
        <v>17</v>
      </c>
      <c r="D2784" s="5" t="s">
        <v>18</v>
      </c>
      <c r="E2784" s="5" t="s">
        <v>321</v>
      </c>
      <c r="F2784" s="9">
        <v>75</v>
      </c>
      <c r="G2784" s="9">
        <v>871</v>
      </c>
      <c r="H2784" s="5" t="s">
        <v>20</v>
      </c>
      <c r="I2784" s="5" t="s">
        <v>6541</v>
      </c>
      <c r="J2784" s="12" t="str">
        <f>HYPERLINK("https://www.boe.es/gazeta/dias/1807/08/21/pdfs/GMD-1807-75.pdf#page=11","Abrir facsímil")</f>
        <v>Abrir facsímil</v>
      </c>
      <c r="K2784" s="15" t="s">
        <v>22</v>
      </c>
    </row>
    <row r="2785" spans="1:11" ht="42" customHeight="1">
      <c r="A2785" s="4" t="s">
        <v>6542</v>
      </c>
      <c r="B2785" s="5" t="s">
        <v>6542</v>
      </c>
      <c r="C2785" s="5" t="s">
        <v>89</v>
      </c>
      <c r="D2785" s="5" t="s">
        <v>90</v>
      </c>
      <c r="E2785" s="5" t="s">
        <v>123</v>
      </c>
      <c r="F2785" s="9">
        <v>70</v>
      </c>
      <c r="G2785" s="9">
        <v>808</v>
      </c>
      <c r="H2785" s="5" t="s">
        <v>20</v>
      </c>
      <c r="I2785" s="5" t="s">
        <v>6543</v>
      </c>
      <c r="J2785" s="12" t="str">
        <f>HYPERLINK("https://www.boe.es/gazeta/dias/1807/08/04/pdfs/GMD-1807-70.pdf#page=12","Abrir facsímil")</f>
        <v>Abrir facsímil</v>
      </c>
      <c r="K2785" s="15" t="s">
        <v>22</v>
      </c>
    </row>
    <row r="2786" spans="1:11" ht="42" customHeight="1">
      <c r="A2786" s="4" t="s">
        <v>6544</v>
      </c>
      <c r="B2786" s="5" t="s">
        <v>6544</v>
      </c>
      <c r="C2786" s="5" t="s">
        <v>24</v>
      </c>
      <c r="D2786" s="5" t="s">
        <v>18</v>
      </c>
      <c r="E2786" s="5" t="s">
        <v>106</v>
      </c>
      <c r="F2786" s="9">
        <v>39</v>
      </c>
      <c r="G2786" s="9">
        <v>469</v>
      </c>
      <c r="H2786" s="5" t="s">
        <v>20</v>
      </c>
      <c r="I2786" s="5" t="s">
        <v>6545</v>
      </c>
      <c r="J2786" s="12" t="str">
        <f>HYPERLINK("https://www.boe.es/gazeta/dias/1807/05/05/pdfs/GMD-1807-39.pdf#page=11","Abrir facsímil")</f>
        <v>Abrir facsímil</v>
      </c>
      <c r="K2786" s="15" t="s">
        <v>22</v>
      </c>
    </row>
    <row r="2787" spans="1:11" ht="42" customHeight="1">
      <c r="A2787" s="4" t="s">
        <v>6546</v>
      </c>
      <c r="B2787" s="5" t="s">
        <v>6546</v>
      </c>
      <c r="C2787" s="5" t="s">
        <v>28</v>
      </c>
      <c r="D2787" s="5" t="s">
        <v>29</v>
      </c>
      <c r="E2787" s="5" t="s">
        <v>65</v>
      </c>
      <c r="F2787" s="9">
        <v>52</v>
      </c>
      <c r="G2787" s="9">
        <v>621</v>
      </c>
      <c r="H2787" s="5" t="s">
        <v>20</v>
      </c>
      <c r="I2787" s="5" t="s">
        <v>6547</v>
      </c>
      <c r="J2787" s="12" t="str">
        <f>HYPERLINK("https://www.boe.es/gazeta/dias/1807/06/19/pdfs/GMD-1807-52.pdf#page=11","Abrir facsímil")</f>
        <v>Abrir facsímil</v>
      </c>
      <c r="K2787" s="15" t="s">
        <v>22</v>
      </c>
    </row>
    <row r="2788" spans="1:11" ht="42" customHeight="1">
      <c r="A2788" s="4" t="s">
        <v>6548</v>
      </c>
      <c r="B2788" s="5" t="s">
        <v>6548</v>
      </c>
      <c r="C2788" s="5" t="s">
        <v>24</v>
      </c>
      <c r="D2788" s="5" t="s">
        <v>18</v>
      </c>
      <c r="E2788" s="5" t="s">
        <v>104</v>
      </c>
      <c r="F2788" s="9">
        <v>25</v>
      </c>
      <c r="G2788" s="9">
        <v>302</v>
      </c>
      <c r="H2788" s="5" t="s">
        <v>20</v>
      </c>
      <c r="I2788" s="5" t="s">
        <v>6549</v>
      </c>
      <c r="J2788" s="12" t="str">
        <f>HYPERLINK("https://www.boe.es/gazeta/dias/1807/03/17/pdfs/GMD-1807-25.pdf#page=10","Abrir facsímil")</f>
        <v>Abrir facsímil</v>
      </c>
      <c r="K2788" s="15" t="s">
        <v>22</v>
      </c>
    </row>
    <row r="2789" spans="1:11" ht="42" customHeight="1">
      <c r="A2789" s="4" t="s">
        <v>6548</v>
      </c>
      <c r="B2789" s="5" t="s">
        <v>6548</v>
      </c>
      <c r="C2789" s="5" t="s">
        <v>24</v>
      </c>
      <c r="D2789" s="5" t="s">
        <v>18</v>
      </c>
      <c r="E2789" s="5" t="s">
        <v>53</v>
      </c>
      <c r="F2789" s="9">
        <v>64</v>
      </c>
      <c r="G2789" s="9">
        <v>749</v>
      </c>
      <c r="H2789" s="5" t="s">
        <v>20</v>
      </c>
      <c r="I2789" s="5" t="s">
        <v>6550</v>
      </c>
      <c r="J2789" s="12" t="str">
        <f>HYPERLINK("https://www.boe.es/gazeta/dias/1807/07/21/pdfs/GMD-1807-64.pdf#page=11","Abrir facsímil")</f>
        <v>Abrir facsímil</v>
      </c>
      <c r="K2789" s="15" t="s">
        <v>22</v>
      </c>
    </row>
    <row r="2790" spans="1:11" ht="42" customHeight="1">
      <c r="A2790" s="4" t="s">
        <v>6551</v>
      </c>
      <c r="B2790" s="5" t="s">
        <v>6551</v>
      </c>
      <c r="C2790" s="5" t="s">
        <v>34</v>
      </c>
      <c r="D2790" s="5" t="s">
        <v>35</v>
      </c>
      <c r="E2790" s="5" t="s">
        <v>319</v>
      </c>
      <c r="F2790" s="9">
        <v>54</v>
      </c>
      <c r="G2790" s="9">
        <v>645</v>
      </c>
      <c r="H2790" s="5" t="s">
        <v>20</v>
      </c>
      <c r="I2790" s="5" t="s">
        <v>6552</v>
      </c>
      <c r="J2790" s="12" t="str">
        <f>HYPERLINK("https://www.boe.es/gazeta/dias/1807/06/26/pdfs/GMD-1807-54.pdf#page=7","Abrir facsímil")</f>
        <v>Abrir facsímil</v>
      </c>
      <c r="K2790" s="15" t="s">
        <v>22</v>
      </c>
    </row>
    <row r="2791" spans="1:11" ht="42" customHeight="1">
      <c r="A2791" s="4" t="s">
        <v>6551</v>
      </c>
      <c r="B2791" s="5" t="s">
        <v>6551</v>
      </c>
      <c r="C2791" s="5" t="s">
        <v>34</v>
      </c>
      <c r="D2791" s="5" t="s">
        <v>35</v>
      </c>
      <c r="E2791" s="5" t="s">
        <v>361</v>
      </c>
      <c r="F2791" s="9">
        <v>113</v>
      </c>
      <c r="G2791" s="9">
        <v>1322</v>
      </c>
      <c r="H2791" s="5" t="s">
        <v>20</v>
      </c>
      <c r="I2791" s="5" t="s">
        <v>6553</v>
      </c>
      <c r="J2791" s="12" t="str">
        <f>HYPERLINK("https://www.boe.es/gazeta/dias/1807/12/22/pdfs/GMD-1807-113.pdf#page=10","Abrir facsímil")</f>
        <v>Abrir facsímil</v>
      </c>
      <c r="K2791" s="15" t="s">
        <v>22</v>
      </c>
    </row>
    <row r="2792" spans="1:11" ht="42" customHeight="1">
      <c r="A2792" s="4" t="s">
        <v>6554</v>
      </c>
      <c r="B2792" s="5" t="s">
        <v>6554</v>
      </c>
      <c r="C2792" s="5" t="s">
        <v>34</v>
      </c>
      <c r="D2792" s="5" t="s">
        <v>35</v>
      </c>
      <c r="E2792" s="5" t="s">
        <v>567</v>
      </c>
      <c r="F2792" s="9">
        <v>55</v>
      </c>
      <c r="G2792" s="9">
        <v>659</v>
      </c>
      <c r="H2792" s="5" t="s">
        <v>20</v>
      </c>
      <c r="I2792" s="5" t="s">
        <v>6555</v>
      </c>
      <c r="J2792" s="12" t="str">
        <f>HYPERLINK("https://www.boe.es/gazeta/dias/1807/06/30/pdfs/GMD-1807-55.pdf#page=9","Abrir facsímil")</f>
        <v>Abrir facsímil</v>
      </c>
      <c r="K2792" s="15" t="s">
        <v>22</v>
      </c>
    </row>
    <row r="2793" spans="1:11" ht="42" customHeight="1">
      <c r="A2793" s="4" t="s">
        <v>6556</v>
      </c>
      <c r="B2793" s="5" t="s">
        <v>6556</v>
      </c>
      <c r="C2793" s="5" t="s">
        <v>28</v>
      </c>
      <c r="D2793" s="5" t="s">
        <v>29</v>
      </c>
      <c r="E2793" s="5" t="s">
        <v>361</v>
      </c>
      <c r="F2793" s="9">
        <v>113</v>
      </c>
      <c r="G2793" s="9">
        <v>1324</v>
      </c>
      <c r="H2793" s="5" t="s">
        <v>20</v>
      </c>
      <c r="I2793" s="5" t="s">
        <v>6557</v>
      </c>
      <c r="J2793" s="12" t="str">
        <f>HYPERLINK("https://www.boe.es/gazeta/dias/1807/12/22/pdfs/GMD-1807-113.pdf#page=12","Abrir facsímil")</f>
        <v>Abrir facsímil</v>
      </c>
      <c r="K2793" s="15" t="s">
        <v>22</v>
      </c>
    </row>
    <row r="2794" spans="1:11" ht="42" customHeight="1">
      <c r="A2794" s="4" t="s">
        <v>6558</v>
      </c>
      <c r="B2794" s="5" t="s">
        <v>6558</v>
      </c>
      <c r="C2794" s="5" t="s">
        <v>28</v>
      </c>
      <c r="D2794" s="5" t="s">
        <v>29</v>
      </c>
      <c r="E2794" s="5" t="s">
        <v>186</v>
      </c>
      <c r="F2794" s="9">
        <v>72</v>
      </c>
      <c r="G2794" s="9">
        <v>828</v>
      </c>
      <c r="H2794" s="5" t="s">
        <v>20</v>
      </c>
      <c r="I2794" s="5" t="s">
        <v>6559</v>
      </c>
      <c r="J2794" s="12" t="str">
        <f>HYPERLINK("https://www.boe.es/gazeta/dias/1807/08/11/pdfs/GMD-1807-72.pdf#page=8","Abrir facsímil")</f>
        <v>Abrir facsímil</v>
      </c>
      <c r="K2794" s="15" t="s">
        <v>22</v>
      </c>
    </row>
    <row r="2795" spans="1:11" ht="42" customHeight="1">
      <c r="A2795" s="4" t="s">
        <v>6560</v>
      </c>
      <c r="B2795" s="5" t="s">
        <v>6560</v>
      </c>
      <c r="C2795" s="5" t="s">
        <v>34</v>
      </c>
      <c r="D2795" s="5" t="s">
        <v>35</v>
      </c>
      <c r="E2795" s="5" t="s">
        <v>76</v>
      </c>
      <c r="F2795" s="9">
        <v>7</v>
      </c>
      <c r="G2795" s="9">
        <v>74</v>
      </c>
      <c r="H2795" s="5" t="s">
        <v>20</v>
      </c>
      <c r="I2795" s="5" t="s">
        <v>6561</v>
      </c>
      <c r="J2795" s="12" t="str">
        <f>HYPERLINK("https://www.boe.es/gazeta/dias/1807/01/20/pdfs/GMD-1807-7.pdf#page=6","Abrir facsímil")</f>
        <v>Abrir facsímil</v>
      </c>
      <c r="K2795" s="15" t="s">
        <v>22</v>
      </c>
    </row>
    <row r="2796" spans="1:11" ht="42" customHeight="1">
      <c r="A2796" s="4" t="s">
        <v>6562</v>
      </c>
      <c r="B2796" s="5" t="s">
        <v>6562</v>
      </c>
      <c r="C2796" s="5" t="s">
        <v>34</v>
      </c>
      <c r="D2796" s="5" t="s">
        <v>35</v>
      </c>
      <c r="E2796" s="5" t="s">
        <v>595</v>
      </c>
      <c r="F2796" s="9">
        <v>59</v>
      </c>
      <c r="G2796" s="9">
        <v>702</v>
      </c>
      <c r="H2796" s="5" t="s">
        <v>20</v>
      </c>
      <c r="I2796" s="5" t="s">
        <v>6563</v>
      </c>
      <c r="J2796" s="12" t="str">
        <f>HYPERLINK("https://www.boe.es/gazeta/dias/1807/07/10/pdfs/GMD-1807-59.pdf#page=8","Abrir facsímil")</f>
        <v>Abrir facsímil</v>
      </c>
      <c r="K2796" s="15" t="s">
        <v>22</v>
      </c>
    </row>
    <row r="2797" spans="1:11" ht="42" customHeight="1">
      <c r="A2797" s="4" t="s">
        <v>6564</v>
      </c>
      <c r="B2797" s="5" t="s">
        <v>6564</v>
      </c>
      <c r="C2797" s="5" t="s">
        <v>34</v>
      </c>
      <c r="D2797" s="5" t="s">
        <v>35</v>
      </c>
      <c r="E2797" s="5" t="s">
        <v>572</v>
      </c>
      <c r="F2797" s="9">
        <v>14</v>
      </c>
      <c r="G2797" s="9">
        <v>163</v>
      </c>
      <c r="H2797" s="5" t="s">
        <v>20</v>
      </c>
      <c r="I2797" s="5" t="s">
        <v>6565</v>
      </c>
      <c r="J2797" s="12" t="str">
        <f>HYPERLINK("https://www.boe.es/gazeta/dias/1807/02/10/pdfs/GMD-1807-14.pdf#page=11","Abrir facsímil")</f>
        <v>Abrir facsímil</v>
      </c>
      <c r="K2797" s="15" t="s">
        <v>22</v>
      </c>
    </row>
    <row r="2798" spans="1:11" ht="42" customHeight="1">
      <c r="A2798" s="4" t="s">
        <v>6564</v>
      </c>
      <c r="B2798" s="5" t="s">
        <v>6564</v>
      </c>
      <c r="C2798" s="5" t="s">
        <v>28</v>
      </c>
      <c r="D2798" s="5" t="s">
        <v>29</v>
      </c>
      <c r="E2798" s="5" t="s">
        <v>208</v>
      </c>
      <c r="F2798" s="9">
        <v>42</v>
      </c>
      <c r="G2798" s="9">
        <v>502</v>
      </c>
      <c r="H2798" s="5" t="s">
        <v>20</v>
      </c>
      <c r="I2798" s="5" t="s">
        <v>6566</v>
      </c>
      <c r="J2798" s="12" t="str">
        <f>HYPERLINK("https://www.boe.es/gazeta/dias/1807/05/15/pdfs/GMD-1807-42.pdf#page=8","Abrir facsímil")</f>
        <v>Abrir facsímil</v>
      </c>
      <c r="K2798" s="15" t="s">
        <v>22</v>
      </c>
    </row>
    <row r="2799" spans="1:11" ht="42" customHeight="1">
      <c r="A2799" s="4" t="s">
        <v>6567</v>
      </c>
      <c r="B2799" s="5" t="s">
        <v>6567</v>
      </c>
      <c r="C2799" s="5" t="s">
        <v>34</v>
      </c>
      <c r="D2799" s="5" t="s">
        <v>35</v>
      </c>
      <c r="E2799" s="5" t="s">
        <v>530</v>
      </c>
      <c r="F2799" s="9">
        <v>79</v>
      </c>
      <c r="G2799" s="9">
        <v>918</v>
      </c>
      <c r="H2799" s="5" t="s">
        <v>20</v>
      </c>
      <c r="I2799" s="5" t="s">
        <v>6568</v>
      </c>
      <c r="J2799" s="12" t="str">
        <f>HYPERLINK("https://www.boe.es/gazeta/dias/1807/09/04/pdfs/GMD-1807-79.pdf#page=10","Abrir facsímil")</f>
        <v>Abrir facsímil</v>
      </c>
      <c r="K2799" s="15" t="s">
        <v>22</v>
      </c>
    </row>
    <row r="2800" spans="1:11" ht="42" customHeight="1">
      <c r="A2800" s="4" t="s">
        <v>6569</v>
      </c>
      <c r="B2800" s="5" t="s">
        <v>6569</v>
      </c>
      <c r="C2800" s="5" t="s">
        <v>24</v>
      </c>
      <c r="D2800" s="5" t="s">
        <v>18</v>
      </c>
      <c r="E2800" s="5" t="s">
        <v>135</v>
      </c>
      <c r="F2800" s="9">
        <v>80</v>
      </c>
      <c r="G2800" s="9">
        <v>933</v>
      </c>
      <c r="H2800" s="5" t="s">
        <v>20</v>
      </c>
      <c r="I2800" s="5" t="s">
        <v>6570</v>
      </c>
      <c r="J2800" s="12" t="str">
        <f>HYPERLINK("https://www.boe.es/gazeta/dias/1807/09/08/pdfs/GMD-1807-80.pdf#page=9","Abrir facsímil")</f>
        <v>Abrir facsímil</v>
      </c>
      <c r="K2800" s="15" t="s">
        <v>22</v>
      </c>
    </row>
    <row r="2801" spans="1:11" ht="42" customHeight="1">
      <c r="A2801" s="4" t="s">
        <v>6571</v>
      </c>
      <c r="B2801" s="5" t="s">
        <v>6571</v>
      </c>
      <c r="C2801" s="5" t="s">
        <v>28</v>
      </c>
      <c r="D2801" s="5" t="s">
        <v>29</v>
      </c>
      <c r="E2801" s="5" t="s">
        <v>654</v>
      </c>
      <c r="F2801" s="9">
        <v>94</v>
      </c>
      <c r="G2801" s="9">
        <v>1092</v>
      </c>
      <c r="H2801" s="5" t="s">
        <v>20</v>
      </c>
      <c r="I2801" s="5" t="s">
        <v>6572</v>
      </c>
      <c r="J2801" s="12" t="str">
        <f>HYPERLINK("https://www.boe.es/gazeta/dias/1807/10/20/pdfs/GMD-1807-94.pdf#page=8","Abrir facsímil")</f>
        <v>Abrir facsímil</v>
      </c>
      <c r="K2801" s="15" t="s">
        <v>22</v>
      </c>
    </row>
    <row r="2802" spans="1:11" ht="42" customHeight="1">
      <c r="A2802" s="4" t="s">
        <v>6573</v>
      </c>
      <c r="B2802" s="5" t="s">
        <v>6573</v>
      </c>
      <c r="C2802" s="5" t="s">
        <v>28</v>
      </c>
      <c r="D2802" s="5" t="s">
        <v>29</v>
      </c>
      <c r="E2802" s="5" t="s">
        <v>507</v>
      </c>
      <c r="F2802" s="9">
        <v>48</v>
      </c>
      <c r="G2802" s="9">
        <v>570</v>
      </c>
      <c r="H2802" s="5" t="s">
        <v>20</v>
      </c>
      <c r="I2802" s="5" t="s">
        <v>6574</v>
      </c>
      <c r="J2802" s="12" t="str">
        <f>HYPERLINK("https://www.boe.es/gazeta/dias/1807/06/05/pdfs/GMD-1807-48.pdf#page=8","Abrir facsímil")</f>
        <v>Abrir facsímil</v>
      </c>
      <c r="K2802" s="15" t="s">
        <v>22</v>
      </c>
    </row>
    <row r="2803" spans="1:11" ht="42" customHeight="1">
      <c r="A2803" s="4" t="s">
        <v>6573</v>
      </c>
      <c r="B2803" s="5" t="s">
        <v>6573</v>
      </c>
      <c r="C2803" s="5" t="s">
        <v>34</v>
      </c>
      <c r="D2803" s="5" t="s">
        <v>35</v>
      </c>
      <c r="E2803" s="5" t="s">
        <v>1354</v>
      </c>
      <c r="F2803" s="9">
        <v>83</v>
      </c>
      <c r="G2803" s="9">
        <v>969</v>
      </c>
      <c r="H2803" s="5" t="s">
        <v>20</v>
      </c>
      <c r="I2803" s="5" t="s">
        <v>6575</v>
      </c>
      <c r="J2803" s="12" t="str">
        <f>HYPERLINK("https://www.boe.es/gazeta/dias/1807/09/18/pdfs/GMD-1807-83.pdf#page=9","Abrir facsímil")</f>
        <v>Abrir facsímil</v>
      </c>
      <c r="K2803" s="15" t="s">
        <v>22</v>
      </c>
    </row>
    <row r="2804" spans="1:11" ht="42" customHeight="1">
      <c r="A2804" s="4" t="s">
        <v>6576</v>
      </c>
      <c r="B2804" s="5" t="s">
        <v>6576</v>
      </c>
      <c r="C2804" s="5" t="s">
        <v>34</v>
      </c>
      <c r="D2804" s="5" t="s">
        <v>35</v>
      </c>
      <c r="E2804" s="5" t="s">
        <v>620</v>
      </c>
      <c r="F2804" s="9">
        <v>84</v>
      </c>
      <c r="G2804" s="9">
        <v>981</v>
      </c>
      <c r="H2804" s="5" t="s">
        <v>20</v>
      </c>
      <c r="I2804" s="5" t="s">
        <v>6577</v>
      </c>
      <c r="J2804" s="12" t="str">
        <f>HYPERLINK("https://www.boe.es/gazeta/dias/1807/09/22/pdfs/GMD-1807-84.pdf#page=9","Abrir facsímil")</f>
        <v>Abrir facsímil</v>
      </c>
      <c r="K2804" s="15" t="s">
        <v>22</v>
      </c>
    </row>
    <row r="2805" spans="1:11" ht="42" customHeight="1">
      <c r="A2805" s="4" t="s">
        <v>6578</v>
      </c>
      <c r="B2805" s="5" t="s">
        <v>6578</v>
      </c>
      <c r="C2805" s="5" t="s">
        <v>17</v>
      </c>
      <c r="D2805" s="5" t="s">
        <v>18</v>
      </c>
      <c r="E2805" s="5" t="s">
        <v>179</v>
      </c>
      <c r="F2805" s="9">
        <v>100</v>
      </c>
      <c r="G2805" s="9">
        <v>1164</v>
      </c>
      <c r="H2805" s="5" t="s">
        <v>20</v>
      </c>
      <c r="I2805" s="5" t="s">
        <v>6579</v>
      </c>
      <c r="J2805" s="12" t="str">
        <f>HYPERLINK("https://www.boe.es/gazeta/dias/1807/11/10/pdfs/GMD-1807-100.pdf#page=8","Abrir facsímil")</f>
        <v>Abrir facsímil</v>
      </c>
      <c r="K2805" s="15" t="s">
        <v>22</v>
      </c>
    </row>
    <row r="2806" spans="1:11" ht="42" customHeight="1">
      <c r="A2806" s="4" t="s">
        <v>6580</v>
      </c>
      <c r="B2806" s="5" t="s">
        <v>6580</v>
      </c>
      <c r="C2806" s="5" t="s">
        <v>34</v>
      </c>
      <c r="D2806" s="5" t="s">
        <v>35</v>
      </c>
      <c r="E2806" s="5" t="s">
        <v>384</v>
      </c>
      <c r="F2806" s="9">
        <v>111</v>
      </c>
      <c r="G2806" s="9">
        <v>1297</v>
      </c>
      <c r="H2806" s="5" t="s">
        <v>20</v>
      </c>
      <c r="I2806" s="5" t="s">
        <v>6581</v>
      </c>
      <c r="J2806" s="12" t="str">
        <f>HYPERLINK("https://www.boe.es/gazeta/dias/1807/12/15/pdfs/GMD-1807-111.pdf#page=9","Abrir facsímil")</f>
        <v>Abrir facsímil</v>
      </c>
      <c r="K2806" s="15" t="s">
        <v>22</v>
      </c>
    </row>
    <row r="2807" spans="1:11" ht="42" customHeight="1">
      <c r="A2807" s="4" t="s">
        <v>6582</v>
      </c>
      <c r="B2807" s="5" t="s">
        <v>6582</v>
      </c>
      <c r="C2807" s="5" t="s">
        <v>34</v>
      </c>
      <c r="D2807" s="5" t="s">
        <v>35</v>
      </c>
      <c r="E2807" s="5" t="s">
        <v>91</v>
      </c>
      <c r="F2807" s="9">
        <v>109</v>
      </c>
      <c r="G2807" s="9">
        <v>1273</v>
      </c>
      <c r="H2807" s="5" t="s">
        <v>20</v>
      </c>
      <c r="I2807" s="5" t="s">
        <v>6583</v>
      </c>
      <c r="J2807" s="12" t="str">
        <f>HYPERLINK("https://www.boe.es/gazeta/dias/1807/12/08/pdfs/GMD-1807-109.pdf#page=9","Abrir facsímil")</f>
        <v>Abrir facsímil</v>
      </c>
      <c r="K2807" s="15" t="s">
        <v>22</v>
      </c>
    </row>
    <row r="2808" spans="1:11" ht="42" customHeight="1">
      <c r="A2808" s="4" t="s">
        <v>6584</v>
      </c>
      <c r="B2808" s="5" t="s">
        <v>6584</v>
      </c>
      <c r="C2808" s="5" t="s">
        <v>34</v>
      </c>
      <c r="D2808" s="5" t="s">
        <v>35</v>
      </c>
      <c r="E2808" s="5" t="s">
        <v>131</v>
      </c>
      <c r="F2808" s="9">
        <v>28</v>
      </c>
      <c r="G2808" s="9">
        <v>334</v>
      </c>
      <c r="H2808" s="5" t="s">
        <v>20</v>
      </c>
      <c r="I2808" s="5" t="s">
        <v>6585</v>
      </c>
      <c r="J2808" s="12" t="str">
        <f>HYPERLINK("https://www.boe.es/gazeta/dias/1807/03/27/pdfs/GMD-1807-28.pdf#page=6","Abrir facsímil")</f>
        <v>Abrir facsímil</v>
      </c>
      <c r="K2808" s="15" t="s">
        <v>22</v>
      </c>
    </row>
    <row r="2809" spans="1:11" ht="42" customHeight="1">
      <c r="A2809" s="4" t="s">
        <v>6586</v>
      </c>
      <c r="B2809" s="5" t="s">
        <v>6586</v>
      </c>
      <c r="C2809" s="5" t="s">
        <v>28</v>
      </c>
      <c r="D2809" s="5" t="s">
        <v>29</v>
      </c>
      <c r="E2809" s="5" t="s">
        <v>25</v>
      </c>
      <c r="F2809" s="9">
        <v>45</v>
      </c>
      <c r="G2809" s="9">
        <v>537</v>
      </c>
      <c r="H2809" s="5" t="s">
        <v>20</v>
      </c>
      <c r="I2809" s="5" t="s">
        <v>6587</v>
      </c>
      <c r="J2809" s="12" t="str">
        <f>HYPERLINK("https://www.boe.es/gazeta/dias/1807/05/26/pdfs/GMD-1807-45.pdf#page=7","Abrir facsímil")</f>
        <v>Abrir facsímil</v>
      </c>
      <c r="K2809" s="15" t="s">
        <v>22</v>
      </c>
    </row>
    <row r="2810" spans="1:11" ht="42" customHeight="1">
      <c r="A2810" s="4" t="s">
        <v>6588</v>
      </c>
      <c r="B2810" s="5" t="s">
        <v>6588</v>
      </c>
      <c r="C2810" s="5" t="s">
        <v>28</v>
      </c>
      <c r="D2810" s="5" t="s">
        <v>29</v>
      </c>
      <c r="E2810" s="5" t="s">
        <v>241</v>
      </c>
      <c r="F2810" s="9">
        <v>76</v>
      </c>
      <c r="G2810" s="9">
        <v>881</v>
      </c>
      <c r="H2810" s="5" t="s">
        <v>20</v>
      </c>
      <c r="I2810" s="5" t="s">
        <v>6589</v>
      </c>
      <c r="J2810" s="12" t="str">
        <f>HYPERLINK("https://www.boe.es/gazeta/dias/1807/08/25/pdfs/GMD-1807-76.pdf#page=9","Abrir facsímil")</f>
        <v>Abrir facsímil</v>
      </c>
      <c r="K2810" s="15" t="s">
        <v>22</v>
      </c>
    </row>
    <row r="2811" spans="1:11" ht="42" customHeight="1">
      <c r="A2811" s="4" t="s">
        <v>6590</v>
      </c>
      <c r="B2811" s="5" t="s">
        <v>6590</v>
      </c>
      <c r="C2811" s="5" t="s">
        <v>34</v>
      </c>
      <c r="D2811" s="5" t="s">
        <v>35</v>
      </c>
      <c r="E2811" s="5" t="s">
        <v>350</v>
      </c>
      <c r="F2811" s="9">
        <v>112</v>
      </c>
      <c r="G2811" s="9">
        <v>1310</v>
      </c>
      <c r="H2811" s="5" t="s">
        <v>20</v>
      </c>
      <c r="I2811" s="5" t="s">
        <v>6591</v>
      </c>
      <c r="J2811" s="12" t="str">
        <f>HYPERLINK("https://www.boe.es/gazeta/dias/1807/12/18/pdfs/GMD-1807-112.pdf#page=10","Abrir facsímil")</f>
        <v>Abrir facsímil</v>
      </c>
      <c r="K2811" s="15" t="s">
        <v>22</v>
      </c>
    </row>
    <row r="2812" spans="1:11" ht="42" customHeight="1">
      <c r="A2812" s="4" t="s">
        <v>6592</v>
      </c>
      <c r="B2812" s="5" t="s">
        <v>6592</v>
      </c>
      <c r="C2812" s="5" t="s">
        <v>24</v>
      </c>
      <c r="D2812" s="5" t="s">
        <v>18</v>
      </c>
      <c r="E2812" s="5" t="s">
        <v>505</v>
      </c>
      <c r="F2812" s="9">
        <v>47</v>
      </c>
      <c r="G2812" s="9">
        <v>561</v>
      </c>
      <c r="H2812" s="5" t="s">
        <v>20</v>
      </c>
      <c r="I2812" s="5" t="s">
        <v>6593</v>
      </c>
      <c r="J2812" s="12" t="str">
        <f>HYPERLINK("https://www.boe.es/gazeta/dias/1807/06/02/pdfs/GMD-1807-47.pdf#page=7","Abrir facsímil")</f>
        <v>Abrir facsímil</v>
      </c>
      <c r="K2812" s="15" t="s">
        <v>22</v>
      </c>
    </row>
    <row r="2813" spans="1:11" ht="42" customHeight="1">
      <c r="A2813" s="4" t="s">
        <v>6594</v>
      </c>
      <c r="B2813" s="5" t="s">
        <v>6594</v>
      </c>
      <c r="C2813" s="5" t="s">
        <v>34</v>
      </c>
      <c r="D2813" s="5" t="s">
        <v>35</v>
      </c>
      <c r="E2813" s="5" t="s">
        <v>282</v>
      </c>
      <c r="F2813" s="9">
        <v>16</v>
      </c>
      <c r="G2813" s="9">
        <v>185</v>
      </c>
      <c r="H2813" s="5" t="s">
        <v>20</v>
      </c>
      <c r="I2813" s="5" t="s">
        <v>6595</v>
      </c>
      <c r="J2813" s="12" t="str">
        <f>HYPERLINK("https://www.boe.es/gazeta/dias/1807/02/17/pdfs/GMD-1807-16.pdf#page=9","Abrir facsímil")</f>
        <v>Abrir facsímil</v>
      </c>
      <c r="K2813" s="15" t="s">
        <v>22</v>
      </c>
    </row>
    <row r="2814" spans="1:11" ht="42" customHeight="1">
      <c r="A2814" s="4" t="s">
        <v>6594</v>
      </c>
      <c r="B2814" s="5" t="s">
        <v>6594</v>
      </c>
      <c r="C2814" s="5" t="s">
        <v>28</v>
      </c>
      <c r="D2814" s="5" t="s">
        <v>29</v>
      </c>
      <c r="E2814" s="5" t="s">
        <v>186</v>
      </c>
      <c r="F2814" s="9">
        <v>72</v>
      </c>
      <c r="G2814" s="9">
        <v>828</v>
      </c>
      <c r="H2814" s="5" t="s">
        <v>20</v>
      </c>
      <c r="I2814" s="5" t="s">
        <v>6596</v>
      </c>
      <c r="J2814" s="12" t="str">
        <f>HYPERLINK("https://www.boe.es/gazeta/dias/1807/08/11/pdfs/GMD-1807-72.pdf#page=8","Abrir facsímil")</f>
        <v>Abrir facsímil</v>
      </c>
      <c r="K2814" s="15" t="s">
        <v>22</v>
      </c>
    </row>
    <row r="2815" spans="1:11" ht="42" customHeight="1">
      <c r="A2815" s="4" t="s">
        <v>6594</v>
      </c>
      <c r="B2815" s="5" t="s">
        <v>6594</v>
      </c>
      <c r="C2815" s="5" t="s">
        <v>34</v>
      </c>
      <c r="D2815" s="5" t="s">
        <v>35</v>
      </c>
      <c r="E2815" s="5" t="s">
        <v>91</v>
      </c>
      <c r="F2815" s="9">
        <v>109</v>
      </c>
      <c r="G2815" s="9">
        <v>1271</v>
      </c>
      <c r="H2815" s="5" t="s">
        <v>20</v>
      </c>
      <c r="I2815" s="5" t="s">
        <v>6597</v>
      </c>
      <c r="J2815" s="12" t="str">
        <f>HYPERLINK("https://www.boe.es/gazeta/dias/1807/12/08/pdfs/GMD-1807-109.pdf#page=7","Abrir facsímil")</f>
        <v>Abrir facsímil</v>
      </c>
      <c r="K2815" s="15" t="s">
        <v>22</v>
      </c>
    </row>
    <row r="2816" spans="1:11" ht="42" customHeight="1">
      <c r="A2816" s="4" t="s">
        <v>6598</v>
      </c>
      <c r="B2816" s="5" t="s">
        <v>6598</v>
      </c>
      <c r="C2816" s="5" t="s">
        <v>17</v>
      </c>
      <c r="D2816" s="5" t="s">
        <v>18</v>
      </c>
      <c r="E2816" s="5" t="s">
        <v>139</v>
      </c>
      <c r="F2816" s="9">
        <v>110</v>
      </c>
      <c r="G2816" s="9">
        <v>1284</v>
      </c>
      <c r="H2816" s="5" t="s">
        <v>20</v>
      </c>
      <c r="I2816" s="5" t="s">
        <v>6599</v>
      </c>
      <c r="J2816" s="12" t="str">
        <f>HYPERLINK("https://www.boe.es/gazeta/dias/1807/12/11/pdfs/GMD-1807-110.pdf#page=8","Abrir facsímil")</f>
        <v>Abrir facsímil</v>
      </c>
      <c r="K2816" s="15" t="s">
        <v>22</v>
      </c>
    </row>
    <row r="2817" spans="1:11" ht="42" customHeight="1">
      <c r="A2817" s="4" t="s">
        <v>6600</v>
      </c>
      <c r="B2817" s="5" t="s">
        <v>6600</v>
      </c>
      <c r="C2817" s="5" t="s">
        <v>34</v>
      </c>
      <c r="D2817" s="5" t="s">
        <v>35</v>
      </c>
      <c r="E2817" s="5" t="s">
        <v>176</v>
      </c>
      <c r="F2817" s="9">
        <v>17</v>
      </c>
      <c r="G2817" s="9">
        <v>195</v>
      </c>
      <c r="H2817" s="5" t="s">
        <v>20</v>
      </c>
      <c r="I2817" s="5" t="s">
        <v>6601</v>
      </c>
      <c r="J2817" s="12" t="str">
        <f>HYPERLINK("https://www.boe.es/gazeta/dias/1807/02/20/pdfs/GMD-1807-17.pdf#page=7","Abrir facsímil")</f>
        <v>Abrir facsímil</v>
      </c>
      <c r="K2817" s="15" t="s">
        <v>22</v>
      </c>
    </row>
    <row r="2818" spans="1:11" ht="42" customHeight="1">
      <c r="A2818" s="4" t="s">
        <v>6602</v>
      </c>
      <c r="B2818" s="5" t="s">
        <v>6602</v>
      </c>
      <c r="C2818" s="5" t="s">
        <v>34</v>
      </c>
      <c r="D2818" s="5" t="s">
        <v>35</v>
      </c>
      <c r="E2818" s="5" t="s">
        <v>98</v>
      </c>
      <c r="F2818" s="9">
        <v>34</v>
      </c>
      <c r="G2818" s="9">
        <v>406</v>
      </c>
      <c r="H2818" s="5" t="s">
        <v>20</v>
      </c>
      <c r="I2818" s="5" t="s">
        <v>6603</v>
      </c>
      <c r="J2818" s="12" t="str">
        <f>HYPERLINK("https://www.boe.es/gazeta/dias/1807/04/17/pdfs/GMD-1807-34.pdf#page=10","Abrir facsímil")</f>
        <v>Abrir facsímil</v>
      </c>
      <c r="K2818" s="15" t="s">
        <v>22</v>
      </c>
    </row>
    <row r="2819" spans="1:11" ht="42" customHeight="1">
      <c r="A2819" s="4" t="s">
        <v>6604</v>
      </c>
      <c r="B2819" s="5" t="s">
        <v>6605</v>
      </c>
      <c r="C2819" s="5" t="s">
        <v>24</v>
      </c>
      <c r="D2819" s="5" t="s">
        <v>18</v>
      </c>
      <c r="E2819" s="5" t="s">
        <v>135</v>
      </c>
      <c r="F2819" s="9">
        <v>80</v>
      </c>
      <c r="G2819" s="9">
        <v>935</v>
      </c>
      <c r="H2819" s="5" t="s">
        <v>20</v>
      </c>
      <c r="I2819" s="5" t="s">
        <v>6606</v>
      </c>
      <c r="J2819" s="12" t="str">
        <f>HYPERLINK("https://www.boe.es/gazeta/dias/1807/09/08/pdfs/GMD-1807-80.pdf#page=11","Abrir facsímil")</f>
        <v>Abrir facsímil</v>
      </c>
      <c r="K2819" s="15" t="s">
        <v>22</v>
      </c>
    </row>
    <row r="2820" spans="1:11" ht="42" customHeight="1">
      <c r="A2820" s="4" t="s">
        <v>6604</v>
      </c>
      <c r="B2820" s="5" t="s">
        <v>6605</v>
      </c>
      <c r="C2820" s="5" t="s">
        <v>24</v>
      </c>
      <c r="D2820" s="5" t="s">
        <v>18</v>
      </c>
      <c r="E2820" s="5" t="s">
        <v>224</v>
      </c>
      <c r="F2820" s="9">
        <v>91</v>
      </c>
      <c r="G2820" s="9">
        <v>1059</v>
      </c>
      <c r="H2820" s="5" t="s">
        <v>20</v>
      </c>
      <c r="I2820" s="5" t="s">
        <v>6607</v>
      </c>
      <c r="J2820" s="12" t="str">
        <f>HYPERLINK("https://www.boe.es/gazeta/dias/1807/10/09/pdfs/GMD-1807-91.pdf#page=11","Abrir facsímil")</f>
        <v>Abrir facsímil</v>
      </c>
      <c r="K2820" s="15" t="s">
        <v>22</v>
      </c>
    </row>
    <row r="2821" spans="1:11" ht="42" customHeight="1">
      <c r="A2821" s="4" t="s">
        <v>6608</v>
      </c>
      <c r="B2821" s="5" t="s">
        <v>6608</v>
      </c>
      <c r="C2821" s="5" t="s">
        <v>28</v>
      </c>
      <c r="D2821" s="5" t="s">
        <v>29</v>
      </c>
      <c r="E2821" s="5" t="s">
        <v>266</v>
      </c>
      <c r="F2821" s="9">
        <v>67</v>
      </c>
      <c r="G2821" s="9">
        <v>771</v>
      </c>
      <c r="H2821" s="5" t="s">
        <v>20</v>
      </c>
      <c r="I2821" s="5" t="s">
        <v>6609</v>
      </c>
      <c r="J2821" s="12" t="str">
        <f>HYPERLINK("https://www.boe.es/gazeta/dias/1807/07/28/pdfs/GMD-1807-67.pdf#page=7","Abrir facsímil")</f>
        <v>Abrir facsímil</v>
      </c>
      <c r="K2821" s="15" t="s">
        <v>22</v>
      </c>
    </row>
    <row r="2822" spans="1:11" ht="42" customHeight="1">
      <c r="A2822" s="4" t="s">
        <v>6610</v>
      </c>
      <c r="B2822" s="5" t="s">
        <v>6610</v>
      </c>
      <c r="C2822" s="5" t="s">
        <v>34</v>
      </c>
      <c r="D2822" s="5" t="s">
        <v>35</v>
      </c>
      <c r="E2822" s="5" t="s">
        <v>25</v>
      </c>
      <c r="F2822" s="9">
        <v>45</v>
      </c>
      <c r="G2822" s="9">
        <v>536</v>
      </c>
      <c r="H2822" s="5" t="s">
        <v>20</v>
      </c>
      <c r="I2822" s="5" t="s">
        <v>6611</v>
      </c>
      <c r="J2822" s="12" t="str">
        <f>HYPERLINK("https://www.boe.es/gazeta/dias/1807/05/26/pdfs/GMD-1807-45.pdf#page=6","Abrir facsímil")</f>
        <v>Abrir facsímil</v>
      </c>
      <c r="K2822" s="15" t="s">
        <v>22</v>
      </c>
    </row>
    <row r="2823" spans="1:11" ht="42" customHeight="1">
      <c r="A2823" s="4" t="s">
        <v>6612</v>
      </c>
      <c r="B2823" s="5" t="s">
        <v>6613</v>
      </c>
      <c r="C2823" s="5" t="s">
        <v>28</v>
      </c>
      <c r="D2823" s="5" t="s">
        <v>29</v>
      </c>
      <c r="E2823" s="5" t="s">
        <v>686</v>
      </c>
      <c r="F2823" s="9">
        <v>106</v>
      </c>
      <c r="G2823" s="9">
        <v>1237</v>
      </c>
      <c r="H2823" s="5" t="s">
        <v>20</v>
      </c>
      <c r="I2823" s="5" t="s">
        <v>6614</v>
      </c>
      <c r="J2823" s="12" t="str">
        <f>HYPERLINK("https://www.boe.es/gazeta/dias/1807/11/27/pdfs/GMD-1807-106.pdf#page=9","Abrir facsímil")</f>
        <v>Abrir facsímil</v>
      </c>
      <c r="K2823" s="15" t="s">
        <v>22</v>
      </c>
    </row>
    <row r="2824" spans="1:11" ht="42" customHeight="1">
      <c r="A2824" s="4" t="s">
        <v>6615</v>
      </c>
      <c r="B2824" s="5" t="s">
        <v>6615</v>
      </c>
      <c r="C2824" s="5" t="s">
        <v>24</v>
      </c>
      <c r="D2824" s="5" t="s">
        <v>18</v>
      </c>
      <c r="E2824" s="5" t="s">
        <v>464</v>
      </c>
      <c r="F2824" s="9">
        <v>18</v>
      </c>
      <c r="G2824" s="9">
        <v>212</v>
      </c>
      <c r="H2824" s="5" t="s">
        <v>20</v>
      </c>
      <c r="I2824" s="5" t="s">
        <v>6616</v>
      </c>
      <c r="J2824" s="12" t="str">
        <f>HYPERLINK("https://www.boe.es/gazeta/dias/1807/02/24/pdfs/GMD-1807-18.pdf#page=12","Abrir facsímil")</f>
        <v>Abrir facsímil</v>
      </c>
      <c r="K2824" s="15" t="s">
        <v>22</v>
      </c>
    </row>
    <row r="2825" spans="1:11" ht="42" customHeight="1">
      <c r="A2825" s="4" t="s">
        <v>6617</v>
      </c>
      <c r="B2825" s="5" t="s">
        <v>6618</v>
      </c>
      <c r="C2825" s="5" t="s">
        <v>17</v>
      </c>
      <c r="D2825" s="5" t="s">
        <v>18</v>
      </c>
      <c r="E2825" s="5" t="s">
        <v>109</v>
      </c>
      <c r="F2825" s="9">
        <v>58</v>
      </c>
      <c r="G2825" s="9">
        <v>688</v>
      </c>
      <c r="H2825" s="5" t="s">
        <v>20</v>
      </c>
      <c r="I2825" s="5" t="s">
        <v>6619</v>
      </c>
      <c r="J2825" s="12" t="str">
        <f>HYPERLINK("https://www.boe.es/gazeta/dias/1807/07/07/pdfs/GMD-1807-58.pdf#page=6","Abrir facsímil")</f>
        <v>Abrir facsímil</v>
      </c>
      <c r="K2825" s="15" t="s">
        <v>22</v>
      </c>
    </row>
    <row r="2826" spans="1:11" ht="42" customHeight="1">
      <c r="A2826" s="4" t="s">
        <v>6620</v>
      </c>
      <c r="B2826" s="5" t="s">
        <v>6620</v>
      </c>
      <c r="C2826" s="5" t="s">
        <v>28</v>
      </c>
      <c r="D2826" s="5" t="s">
        <v>29</v>
      </c>
      <c r="E2826" s="5" t="s">
        <v>461</v>
      </c>
      <c r="F2826" s="9">
        <v>99</v>
      </c>
      <c r="G2826" s="9">
        <v>1153</v>
      </c>
      <c r="H2826" s="5" t="s">
        <v>20</v>
      </c>
      <c r="I2826" s="5" t="s">
        <v>6621</v>
      </c>
      <c r="J2826" s="12" t="str">
        <f>HYPERLINK("https://www.boe.es/gazeta/dias/1807/11/06/pdfs/GMD-1807-99.pdf#page=9","Abrir facsímil")</f>
        <v>Abrir facsímil</v>
      </c>
      <c r="K2826" s="15" t="s">
        <v>22</v>
      </c>
    </row>
    <row r="2827" spans="1:11" ht="42" customHeight="1">
      <c r="A2827" s="4" t="s">
        <v>6622</v>
      </c>
      <c r="B2827" s="5" t="s">
        <v>6622</v>
      </c>
      <c r="C2827" s="5" t="s">
        <v>34</v>
      </c>
      <c r="D2827" s="5" t="s">
        <v>35</v>
      </c>
      <c r="E2827" s="5" t="s">
        <v>123</v>
      </c>
      <c r="F2827" s="9">
        <v>70</v>
      </c>
      <c r="G2827" s="9">
        <v>806</v>
      </c>
      <c r="H2827" s="5" t="s">
        <v>20</v>
      </c>
      <c r="I2827" s="5" t="s">
        <v>6623</v>
      </c>
      <c r="J2827" s="12" t="str">
        <f>HYPERLINK("https://www.boe.es/gazeta/dias/1807/08/04/pdfs/GMD-1807-70.pdf#page=10","Abrir facsímil")</f>
        <v>Abrir facsímil</v>
      </c>
      <c r="K2827" s="15" t="s">
        <v>22</v>
      </c>
    </row>
    <row r="2828" spans="1:11" ht="42" customHeight="1">
      <c r="A2828" s="4" t="s">
        <v>6624</v>
      </c>
      <c r="B2828" s="5" t="s">
        <v>6624</v>
      </c>
      <c r="C2828" s="5" t="s">
        <v>34</v>
      </c>
      <c r="D2828" s="5" t="s">
        <v>35</v>
      </c>
      <c r="E2828" s="5" t="s">
        <v>208</v>
      </c>
      <c r="F2828" s="9">
        <v>42</v>
      </c>
      <c r="G2828" s="9">
        <v>502</v>
      </c>
      <c r="H2828" s="5" t="s">
        <v>20</v>
      </c>
      <c r="I2828" s="5" t="s">
        <v>6625</v>
      </c>
      <c r="J2828" s="12" t="str">
        <f>HYPERLINK("https://www.boe.es/gazeta/dias/1807/05/15/pdfs/GMD-1807-42.pdf#page=8","Abrir facsímil")</f>
        <v>Abrir facsímil</v>
      </c>
      <c r="K2828" s="15" t="s">
        <v>22</v>
      </c>
    </row>
    <row r="2829" spans="1:11" ht="42" customHeight="1">
      <c r="A2829" s="4" t="s">
        <v>6626</v>
      </c>
      <c r="B2829" s="5" t="s">
        <v>6626</v>
      </c>
      <c r="C2829" s="5" t="s">
        <v>28</v>
      </c>
      <c r="D2829" s="5" t="s">
        <v>29</v>
      </c>
      <c r="E2829" s="5" t="s">
        <v>1177</v>
      </c>
      <c r="F2829" s="9">
        <v>101</v>
      </c>
      <c r="G2829" s="9">
        <v>1179</v>
      </c>
      <c r="H2829" s="5" t="s">
        <v>20</v>
      </c>
      <c r="I2829" s="5" t="s">
        <v>6627</v>
      </c>
      <c r="J2829" s="12" t="str">
        <f>HYPERLINK("https://www.boe.es/gazeta/dias/1807/11/13/pdfs/GMD-1807-101.pdf#page=11","Abrir facsímil")</f>
        <v>Abrir facsímil</v>
      </c>
      <c r="K2829" s="15" t="s">
        <v>22</v>
      </c>
    </row>
    <row r="2830" spans="1:11" ht="42" customHeight="1">
      <c r="A2830" s="4" t="s">
        <v>6628</v>
      </c>
      <c r="B2830" s="5" t="s">
        <v>6628</v>
      </c>
      <c r="C2830" s="5" t="s">
        <v>34</v>
      </c>
      <c r="D2830" s="5" t="s">
        <v>35</v>
      </c>
      <c r="E2830" s="5" t="s">
        <v>114</v>
      </c>
      <c r="F2830" s="9">
        <v>46</v>
      </c>
      <c r="G2830" s="9">
        <v>549</v>
      </c>
      <c r="H2830" s="5" t="s">
        <v>20</v>
      </c>
      <c r="I2830" s="5" t="s">
        <v>6629</v>
      </c>
      <c r="J2830" s="12" t="str">
        <f>HYPERLINK("https://www.boe.es/gazeta/dias/1807/05/29/pdfs/GMD-1807-46.pdf#page=7","Abrir facsímil")</f>
        <v>Abrir facsímil</v>
      </c>
      <c r="K2830" s="15" t="s">
        <v>22</v>
      </c>
    </row>
    <row r="2831" spans="1:11" ht="42" customHeight="1">
      <c r="A2831" s="4" t="s">
        <v>6630</v>
      </c>
      <c r="B2831" s="5" t="s">
        <v>6630</v>
      </c>
      <c r="C2831" s="5" t="s">
        <v>28</v>
      </c>
      <c r="D2831" s="5" t="s">
        <v>29</v>
      </c>
      <c r="E2831" s="5" t="s">
        <v>76</v>
      </c>
      <c r="F2831" s="9">
        <v>7</v>
      </c>
      <c r="G2831" s="9">
        <v>81</v>
      </c>
      <c r="H2831" s="5" t="s">
        <v>20</v>
      </c>
      <c r="I2831" s="5" t="s">
        <v>6631</v>
      </c>
      <c r="J2831" s="12" t="str">
        <f>HYPERLINK("https://www.boe.es/gazeta/dias/1807/01/20/pdfs/GMD-1807-7.pdf#page=13","Abrir facsímil")</f>
        <v>Abrir facsímil</v>
      </c>
      <c r="K2831" s="15" t="s">
        <v>22</v>
      </c>
    </row>
    <row r="2832" spans="1:11" ht="42" customHeight="1">
      <c r="A2832" s="4" t="s">
        <v>6632</v>
      </c>
      <c r="B2832" s="5" t="s">
        <v>6632</v>
      </c>
      <c r="C2832" s="5" t="s">
        <v>34</v>
      </c>
      <c r="D2832" s="5" t="s">
        <v>35</v>
      </c>
      <c r="E2832" s="5" t="s">
        <v>245</v>
      </c>
      <c r="F2832" s="9">
        <v>97</v>
      </c>
      <c r="G2832" s="9">
        <v>1127</v>
      </c>
      <c r="H2832" s="5" t="s">
        <v>20</v>
      </c>
      <c r="I2832" s="5" t="s">
        <v>6633</v>
      </c>
      <c r="J2832" s="12" t="str">
        <f>HYPERLINK("https://www.boe.es/gazeta/dias/1807/10/30/pdfs/GMD-1807-97.pdf#page=7","Abrir facsímil")</f>
        <v>Abrir facsímil</v>
      </c>
      <c r="K2832" s="15" t="s">
        <v>22</v>
      </c>
    </row>
    <row r="2833" spans="1:11" ht="42" customHeight="1">
      <c r="A2833" s="4" t="s">
        <v>6634</v>
      </c>
      <c r="B2833" s="5" t="s">
        <v>6634</v>
      </c>
      <c r="C2833" s="5" t="s">
        <v>34</v>
      </c>
      <c r="D2833" s="5" t="s">
        <v>35</v>
      </c>
      <c r="E2833" s="5" t="s">
        <v>561</v>
      </c>
      <c r="F2833" s="9">
        <v>44</v>
      </c>
      <c r="G2833" s="9">
        <v>524</v>
      </c>
      <c r="H2833" s="5" t="s">
        <v>20</v>
      </c>
      <c r="I2833" s="5" t="s">
        <v>6635</v>
      </c>
      <c r="J2833" s="12" t="str">
        <f>HYPERLINK("https://www.boe.es/gazeta/dias/1807/05/22/pdfs/GMD-1807-44.pdf#page=6","Abrir facsímil")</f>
        <v>Abrir facsímil</v>
      </c>
      <c r="K2833" s="15" t="s">
        <v>22</v>
      </c>
    </row>
    <row r="2834" spans="1:11" ht="42" customHeight="1">
      <c r="A2834" s="4" t="s">
        <v>6636</v>
      </c>
      <c r="B2834" s="5" t="s">
        <v>6636</v>
      </c>
      <c r="C2834" s="5" t="s">
        <v>34</v>
      </c>
      <c r="D2834" s="5" t="s">
        <v>35</v>
      </c>
      <c r="E2834" s="5" t="s">
        <v>3230</v>
      </c>
      <c r="F2834" s="9">
        <v>27</v>
      </c>
      <c r="G2834" s="9">
        <v>325</v>
      </c>
      <c r="H2834" s="5" t="s">
        <v>20</v>
      </c>
      <c r="I2834" s="5" t="s">
        <v>6637</v>
      </c>
      <c r="J2834" s="12" t="str">
        <f>HYPERLINK("https://www.boe.es/gazeta/dias/1807/03/24/pdfs/GMD-1807-27.pdf#page=9","Abrir facsímil")</f>
        <v>Abrir facsímil</v>
      </c>
      <c r="K2834" s="15" t="s">
        <v>22</v>
      </c>
    </row>
    <row r="2835" spans="1:11" ht="42" customHeight="1">
      <c r="A2835" s="4" t="s">
        <v>6638</v>
      </c>
      <c r="B2835" s="5" t="s">
        <v>6638</v>
      </c>
      <c r="C2835" s="5" t="s">
        <v>34</v>
      </c>
      <c r="D2835" s="5" t="s">
        <v>35</v>
      </c>
      <c r="E2835" s="5" t="s">
        <v>36</v>
      </c>
      <c r="F2835" s="9">
        <v>36</v>
      </c>
      <c r="G2835" s="9">
        <v>430</v>
      </c>
      <c r="H2835" s="5" t="s">
        <v>20</v>
      </c>
      <c r="I2835" s="5" t="s">
        <v>6639</v>
      </c>
      <c r="J2835" s="12" t="str">
        <f>HYPERLINK("https://www.boe.es/gazeta/dias/1807/04/24/pdfs/GMD-1807-36.pdf#page=10","Abrir facsímil")</f>
        <v>Abrir facsímil</v>
      </c>
      <c r="K2835" s="15" t="s">
        <v>22</v>
      </c>
    </row>
    <row r="2836" spans="1:11" ht="42" customHeight="1">
      <c r="A2836" s="4" t="s">
        <v>6640</v>
      </c>
      <c r="B2836" s="5" t="s">
        <v>6640</v>
      </c>
      <c r="C2836" s="5" t="s">
        <v>28</v>
      </c>
      <c r="D2836" s="5" t="s">
        <v>29</v>
      </c>
      <c r="E2836" s="5" t="s">
        <v>46</v>
      </c>
      <c r="F2836" s="9">
        <v>78</v>
      </c>
      <c r="G2836" s="9">
        <v>904</v>
      </c>
      <c r="H2836" s="5" t="s">
        <v>20</v>
      </c>
      <c r="I2836" s="5" t="s">
        <v>6641</v>
      </c>
      <c r="J2836" s="12" t="str">
        <f>HYPERLINK("https://www.boe.es/gazeta/dias/1807/09/01/pdfs/GMD-1807-78.pdf#page=8","Abrir facsímil")</f>
        <v>Abrir facsímil</v>
      </c>
      <c r="K2836" s="15" t="s">
        <v>22</v>
      </c>
    </row>
    <row r="2837" spans="1:11" ht="42" customHeight="1">
      <c r="A2837" s="4" t="s">
        <v>6642</v>
      </c>
      <c r="B2837" s="5" t="s">
        <v>6642</v>
      </c>
      <c r="C2837" s="5" t="s">
        <v>89</v>
      </c>
      <c r="D2837" s="5" t="s">
        <v>90</v>
      </c>
      <c r="E2837" s="5" t="s">
        <v>444</v>
      </c>
      <c r="F2837" s="9">
        <v>95</v>
      </c>
      <c r="G2837" s="9">
        <v>1108</v>
      </c>
      <c r="H2837" s="5" t="s">
        <v>20</v>
      </c>
      <c r="I2837" s="5" t="s">
        <v>6643</v>
      </c>
      <c r="J2837" s="12" t="str">
        <f>HYPERLINK("https://www.boe.es/gazeta/dias/1807/10/23/pdfs/GMD-1807-95.pdf#page=12","Abrir facsímil")</f>
        <v>Abrir facsímil</v>
      </c>
      <c r="K2837" s="15" t="s">
        <v>22</v>
      </c>
    </row>
    <row r="2838" spans="1:11" ht="42" customHeight="1">
      <c r="A2838" s="4" t="s">
        <v>6644</v>
      </c>
      <c r="B2838" s="5" t="s">
        <v>6644</v>
      </c>
      <c r="C2838" s="5" t="s">
        <v>24</v>
      </c>
      <c r="D2838" s="5" t="s">
        <v>18</v>
      </c>
      <c r="E2838" s="5" t="s">
        <v>79</v>
      </c>
      <c r="F2838" s="9">
        <v>11</v>
      </c>
      <c r="G2838" s="9">
        <v>124</v>
      </c>
      <c r="H2838" s="5" t="s">
        <v>20</v>
      </c>
      <c r="I2838" s="5" t="s">
        <v>6645</v>
      </c>
      <c r="J2838" s="12" t="str">
        <f>HYPERLINK("https://www.boe.es/gazeta/dias/1807/01/30/pdfs/GMD-1807-11.pdf#page=8","Abrir facsímil")</f>
        <v>Abrir facsímil</v>
      </c>
      <c r="K2838" s="15" t="s">
        <v>22</v>
      </c>
    </row>
    <row r="2839" spans="1:11" ht="42" customHeight="1">
      <c r="A2839" s="4" t="s">
        <v>6644</v>
      </c>
      <c r="B2839" s="5" t="s">
        <v>6644</v>
      </c>
      <c r="C2839" s="5" t="s">
        <v>28</v>
      </c>
      <c r="D2839" s="5" t="s">
        <v>29</v>
      </c>
      <c r="E2839" s="5" t="s">
        <v>346</v>
      </c>
      <c r="F2839" s="9">
        <v>21</v>
      </c>
      <c r="G2839" s="9">
        <v>245</v>
      </c>
      <c r="H2839" s="5" t="s">
        <v>20</v>
      </c>
      <c r="I2839" s="5" t="s">
        <v>6646</v>
      </c>
      <c r="J2839" s="12" t="str">
        <f>HYPERLINK("https://www.boe.es/gazeta/dias/1807/03/03/pdfs/GMD-1807-21.pdf#page=9","Abrir facsímil")</f>
        <v>Abrir facsímil</v>
      </c>
      <c r="K2839" s="15" t="s">
        <v>22</v>
      </c>
    </row>
    <row r="2840" spans="1:11" ht="42" customHeight="1">
      <c r="A2840" s="4" t="s">
        <v>6647</v>
      </c>
      <c r="B2840" s="5" t="s">
        <v>6647</v>
      </c>
      <c r="C2840" s="5" t="s">
        <v>34</v>
      </c>
      <c r="D2840" s="5" t="s">
        <v>35</v>
      </c>
      <c r="E2840" s="5" t="s">
        <v>127</v>
      </c>
      <c r="F2840" s="9">
        <v>81</v>
      </c>
      <c r="G2840" s="9">
        <v>946</v>
      </c>
      <c r="H2840" s="5" t="s">
        <v>20</v>
      </c>
      <c r="I2840" s="5" t="s">
        <v>6648</v>
      </c>
      <c r="J2840" s="12" t="str">
        <f>HYPERLINK("https://www.boe.es/gazeta/dias/1807/09/11/pdfs/GMD-1807-81.pdf#page=10","Abrir facsímil")</f>
        <v>Abrir facsímil</v>
      </c>
      <c r="K2840" s="15" t="s">
        <v>22</v>
      </c>
    </row>
    <row r="2841" spans="1:11" ht="42" customHeight="1">
      <c r="A2841" s="4" t="s">
        <v>6649</v>
      </c>
      <c r="B2841" s="5" t="s">
        <v>6649</v>
      </c>
      <c r="C2841" s="5" t="s">
        <v>28</v>
      </c>
      <c r="D2841" s="5" t="s">
        <v>29</v>
      </c>
      <c r="E2841" s="5" t="s">
        <v>245</v>
      </c>
      <c r="F2841" s="9">
        <v>97</v>
      </c>
      <c r="G2841" s="9">
        <v>1132</v>
      </c>
      <c r="H2841" s="5" t="s">
        <v>20</v>
      </c>
      <c r="I2841" s="5" t="s">
        <v>6650</v>
      </c>
      <c r="J2841" s="12" t="str">
        <f>HYPERLINK("https://www.boe.es/gazeta/dias/1807/10/30/pdfs/GMD-1807-97.pdf#page=12","Abrir facsímil")</f>
        <v>Abrir facsímil</v>
      </c>
      <c r="K2841" s="15" t="s">
        <v>22</v>
      </c>
    </row>
    <row r="2842" spans="1:11" ht="42" customHeight="1">
      <c r="A2842" s="4" t="s">
        <v>6651</v>
      </c>
      <c r="B2842" s="5" t="s">
        <v>6651</v>
      </c>
      <c r="C2842" s="5" t="s">
        <v>28</v>
      </c>
      <c r="D2842" s="5" t="s">
        <v>29</v>
      </c>
      <c r="E2842" s="5" t="s">
        <v>208</v>
      </c>
      <c r="F2842" s="9">
        <v>42</v>
      </c>
      <c r="G2842" s="9">
        <v>505</v>
      </c>
      <c r="H2842" s="5" t="s">
        <v>20</v>
      </c>
      <c r="I2842" s="5" t="s">
        <v>6652</v>
      </c>
      <c r="J2842" s="12" t="str">
        <f>HYPERLINK("https://www.boe.es/gazeta/dias/1807/05/15/pdfs/GMD-1807-42.pdf#page=11","Abrir facsímil")</f>
        <v>Abrir facsímil</v>
      </c>
      <c r="K2842" s="15" t="s">
        <v>22</v>
      </c>
    </row>
    <row r="2843" spans="1:11" ht="42" customHeight="1">
      <c r="A2843" s="4" t="s">
        <v>6653</v>
      </c>
      <c r="B2843" s="5" t="s">
        <v>6654</v>
      </c>
      <c r="C2843" s="5" t="s">
        <v>34</v>
      </c>
      <c r="D2843" s="5" t="s">
        <v>35</v>
      </c>
      <c r="E2843" s="5" t="s">
        <v>46</v>
      </c>
      <c r="F2843" s="9">
        <v>78</v>
      </c>
      <c r="G2843" s="9">
        <v>905</v>
      </c>
      <c r="H2843" s="5" t="s">
        <v>20</v>
      </c>
      <c r="I2843" s="5" t="s">
        <v>6655</v>
      </c>
      <c r="J2843" s="12" t="str">
        <f>HYPERLINK("https://www.boe.es/gazeta/dias/1807/09/01/pdfs/GMD-1807-78.pdf#page=9","Abrir facsímil")</f>
        <v>Abrir facsímil</v>
      </c>
      <c r="K2843" s="15" t="s">
        <v>22</v>
      </c>
    </row>
    <row r="2844" spans="1:11" ht="42" customHeight="1">
      <c r="A2844" s="4" t="s">
        <v>6656</v>
      </c>
      <c r="B2844" s="5" t="s">
        <v>6656</v>
      </c>
      <c r="C2844" s="5" t="s">
        <v>28</v>
      </c>
      <c r="D2844" s="5" t="s">
        <v>29</v>
      </c>
      <c r="E2844" s="5" t="s">
        <v>464</v>
      </c>
      <c r="F2844" s="9">
        <v>18</v>
      </c>
      <c r="G2844" s="9">
        <v>212</v>
      </c>
      <c r="H2844" s="5" t="s">
        <v>20</v>
      </c>
      <c r="I2844" s="5" t="s">
        <v>6657</v>
      </c>
      <c r="J2844" s="12" t="str">
        <f>HYPERLINK("https://www.boe.es/gazeta/dias/1807/02/24/pdfs/GMD-1807-18.pdf#page=12","Abrir facsímil")</f>
        <v>Abrir facsímil</v>
      </c>
      <c r="K2844" s="15" t="s">
        <v>22</v>
      </c>
    </row>
    <row r="2845" spans="1:11" ht="42" customHeight="1">
      <c r="A2845" s="4" t="s">
        <v>6658</v>
      </c>
      <c r="B2845" s="5" t="s">
        <v>6658</v>
      </c>
      <c r="C2845" s="5" t="s">
        <v>34</v>
      </c>
      <c r="D2845" s="5" t="s">
        <v>35</v>
      </c>
      <c r="E2845" s="5" t="s">
        <v>215</v>
      </c>
      <c r="F2845" s="9">
        <v>5</v>
      </c>
      <c r="G2845" s="9">
        <v>51</v>
      </c>
      <c r="H2845" s="5" t="s">
        <v>20</v>
      </c>
      <c r="I2845" s="5" t="s">
        <v>6659</v>
      </c>
      <c r="J2845" s="12" t="str">
        <f>HYPERLINK("https://www.boe.es/gazeta/dias/1807/01/16/pdfs/GMD-1807-5.pdf#page=7","Abrir facsímil")</f>
        <v>Abrir facsímil</v>
      </c>
      <c r="K2845" s="15" t="s">
        <v>22</v>
      </c>
    </row>
    <row r="2846" spans="1:11" ht="42" customHeight="1">
      <c r="A2846" s="4" t="s">
        <v>6660</v>
      </c>
      <c r="B2846" s="5" t="s">
        <v>6660</v>
      </c>
      <c r="C2846" s="5" t="s">
        <v>24</v>
      </c>
      <c r="D2846" s="5" t="s">
        <v>18</v>
      </c>
      <c r="E2846" s="5" t="s">
        <v>46</v>
      </c>
      <c r="F2846" s="9">
        <v>78</v>
      </c>
      <c r="G2846" s="9">
        <v>904</v>
      </c>
      <c r="H2846" s="5" t="s">
        <v>20</v>
      </c>
      <c r="I2846" s="5" t="s">
        <v>6661</v>
      </c>
      <c r="J2846" s="12" t="str">
        <f>HYPERLINK("https://www.boe.es/gazeta/dias/1807/09/01/pdfs/GMD-1807-78.pdf#page=8","Abrir facsímil")</f>
        <v>Abrir facsímil</v>
      </c>
      <c r="K2846" s="15" t="s">
        <v>22</v>
      </c>
    </row>
    <row r="2847" spans="1:11" ht="42" customHeight="1">
      <c r="A2847" s="4" t="s">
        <v>6662</v>
      </c>
      <c r="B2847" s="5" t="s">
        <v>6662</v>
      </c>
      <c r="C2847" s="5" t="s">
        <v>28</v>
      </c>
      <c r="D2847" s="5" t="s">
        <v>29</v>
      </c>
      <c r="E2847" s="5" t="s">
        <v>221</v>
      </c>
      <c r="F2847" s="9">
        <v>73</v>
      </c>
      <c r="G2847" s="9">
        <v>846</v>
      </c>
      <c r="H2847" s="5" t="s">
        <v>20</v>
      </c>
      <c r="I2847" s="5" t="s">
        <v>6663</v>
      </c>
      <c r="J2847" s="12" t="str">
        <f>HYPERLINK("https://www.boe.es/gazeta/dias/1807/08/14/pdfs/GMD-1807-73.pdf#page=10","Abrir facsímil")</f>
        <v>Abrir facsímil</v>
      </c>
      <c r="K2847" s="15" t="s">
        <v>22</v>
      </c>
    </row>
    <row r="2848" spans="1:11" ht="42" customHeight="1">
      <c r="A2848" s="4" t="s">
        <v>6664</v>
      </c>
      <c r="B2848" s="5" t="s">
        <v>6665</v>
      </c>
      <c r="C2848" s="5" t="s">
        <v>34</v>
      </c>
      <c r="D2848" s="5" t="s">
        <v>35</v>
      </c>
      <c r="E2848" s="5" t="s">
        <v>275</v>
      </c>
      <c r="F2848" s="9">
        <v>104</v>
      </c>
      <c r="G2848" s="9">
        <v>1213</v>
      </c>
      <c r="H2848" s="5" t="s">
        <v>20</v>
      </c>
      <c r="I2848" s="5" t="s">
        <v>6666</v>
      </c>
      <c r="J2848" s="12" t="str">
        <f>HYPERLINK("https://www.boe.es/gazeta/dias/1807/11/24/pdfs/GMD-1807-104.pdf#page=9","Abrir facsímil")</f>
        <v>Abrir facsímil</v>
      </c>
      <c r="K2848" s="15" t="s">
        <v>22</v>
      </c>
    </row>
    <row r="2849" spans="1:11" ht="42" customHeight="1">
      <c r="A2849" s="4" t="s">
        <v>6667</v>
      </c>
      <c r="B2849" s="5" t="s">
        <v>6667</v>
      </c>
      <c r="C2849" s="5" t="s">
        <v>24</v>
      </c>
      <c r="D2849" s="5" t="s">
        <v>18</v>
      </c>
      <c r="E2849" s="5" t="s">
        <v>79</v>
      </c>
      <c r="F2849" s="9">
        <v>11</v>
      </c>
      <c r="G2849" s="9">
        <v>124</v>
      </c>
      <c r="H2849" s="5" t="s">
        <v>20</v>
      </c>
      <c r="I2849" s="5" t="s">
        <v>6668</v>
      </c>
      <c r="J2849" s="12" t="str">
        <f>HYPERLINK("https://www.boe.es/gazeta/dias/1807/01/30/pdfs/GMD-1807-11.pdf#page=8","Abrir facsímil")</f>
        <v>Abrir facsímil</v>
      </c>
      <c r="K2849" s="15" t="s">
        <v>22</v>
      </c>
    </row>
    <row r="2850" spans="1:11" ht="42" customHeight="1">
      <c r="A2850" s="4" t="s">
        <v>6669</v>
      </c>
      <c r="B2850" s="5" t="s">
        <v>6669</v>
      </c>
      <c r="C2850" s="5" t="s">
        <v>28</v>
      </c>
      <c r="D2850" s="5" t="s">
        <v>29</v>
      </c>
      <c r="E2850" s="5" t="s">
        <v>1076</v>
      </c>
      <c r="F2850" s="9">
        <v>96</v>
      </c>
      <c r="G2850" s="9">
        <v>1115</v>
      </c>
      <c r="H2850" s="5" t="s">
        <v>20</v>
      </c>
      <c r="I2850" s="5" t="s">
        <v>6670</v>
      </c>
      <c r="J2850" s="12" t="str">
        <f>HYPERLINK("https://www.boe.es/gazeta/dias/1807/10/27/pdfs/GMD-1807-96.pdf#page=7","Abrir facsímil")</f>
        <v>Abrir facsímil</v>
      </c>
      <c r="K2850" s="15" t="s">
        <v>22</v>
      </c>
    </row>
    <row r="2851" spans="1:11" ht="42" customHeight="1">
      <c r="A2851" s="4" t="s">
        <v>6671</v>
      </c>
      <c r="B2851" s="5" t="s">
        <v>6672</v>
      </c>
      <c r="C2851" s="5" t="s">
        <v>17</v>
      </c>
      <c r="D2851" s="5" t="s">
        <v>18</v>
      </c>
      <c r="E2851" s="5" t="s">
        <v>620</v>
      </c>
      <c r="F2851" s="9">
        <v>84</v>
      </c>
      <c r="G2851" s="9">
        <v>981</v>
      </c>
      <c r="H2851" s="5" t="s">
        <v>20</v>
      </c>
      <c r="I2851" s="5" t="s">
        <v>6673</v>
      </c>
      <c r="J2851" s="12" t="str">
        <f>HYPERLINK("https://www.boe.es/gazeta/dias/1807/09/22/pdfs/GMD-1807-84.pdf#page=9","Abrir facsímil")</f>
        <v>Abrir facsímil</v>
      </c>
      <c r="K2851" s="15" t="s">
        <v>22</v>
      </c>
    </row>
    <row r="2852" spans="1:11" ht="42" customHeight="1">
      <c r="A2852" s="4" t="s">
        <v>6674</v>
      </c>
      <c r="B2852" s="5" t="s">
        <v>6674</v>
      </c>
      <c r="C2852" s="5" t="s">
        <v>17</v>
      </c>
      <c r="D2852" s="5" t="s">
        <v>18</v>
      </c>
      <c r="E2852" s="5" t="s">
        <v>666</v>
      </c>
      <c r="F2852" s="9">
        <v>43</v>
      </c>
      <c r="G2852" s="9">
        <v>515</v>
      </c>
      <c r="H2852" s="5" t="s">
        <v>20</v>
      </c>
      <c r="I2852" s="5" t="s">
        <v>6675</v>
      </c>
      <c r="J2852" s="12" t="str">
        <f>HYPERLINK("https://www.boe.es/gazeta/dias/1807/05/19/pdfs/GMD-1807-43.pdf#page=9","Abrir facsímil")</f>
        <v>Abrir facsímil</v>
      </c>
      <c r="K2852" s="15" t="s">
        <v>22</v>
      </c>
    </row>
    <row r="2853" spans="1:11" ht="42" customHeight="1">
      <c r="A2853" s="4" t="s">
        <v>6676</v>
      </c>
      <c r="B2853" s="5" t="s">
        <v>6676</v>
      </c>
      <c r="C2853" s="5" t="s">
        <v>34</v>
      </c>
      <c r="D2853" s="5" t="s">
        <v>35</v>
      </c>
      <c r="E2853" s="5" t="s">
        <v>390</v>
      </c>
      <c r="F2853" s="9">
        <v>24</v>
      </c>
      <c r="G2853" s="9">
        <v>287</v>
      </c>
      <c r="H2853" s="5" t="s">
        <v>20</v>
      </c>
      <c r="I2853" s="5" t="s">
        <v>6677</v>
      </c>
      <c r="J2853" s="12" t="str">
        <f>HYPERLINK("https://www.boe.es/gazeta/dias/1807/03/13/pdfs/GMD-1807-24.pdf#page=11","Abrir facsímil")</f>
        <v>Abrir facsímil</v>
      </c>
      <c r="K2853" s="15" t="s">
        <v>22</v>
      </c>
    </row>
    <row r="2854" spans="1:11" ht="42" customHeight="1">
      <c r="A2854" s="4" t="s">
        <v>6678</v>
      </c>
      <c r="B2854" s="5" t="s">
        <v>6678</v>
      </c>
      <c r="C2854" s="5" t="s">
        <v>34</v>
      </c>
      <c r="D2854" s="5" t="s">
        <v>35</v>
      </c>
      <c r="E2854" s="5" t="s">
        <v>1354</v>
      </c>
      <c r="F2854" s="9">
        <v>83</v>
      </c>
      <c r="G2854" s="9">
        <v>969</v>
      </c>
      <c r="H2854" s="5" t="s">
        <v>20</v>
      </c>
      <c r="I2854" s="5" t="s">
        <v>6679</v>
      </c>
      <c r="J2854" s="12" t="str">
        <f>HYPERLINK("https://www.boe.es/gazeta/dias/1807/09/18/pdfs/GMD-1807-83.pdf#page=9","Abrir facsímil")</f>
        <v>Abrir facsímil</v>
      </c>
      <c r="K2854" s="15" t="s">
        <v>22</v>
      </c>
    </row>
    <row r="2855" spans="1:11" ht="42" customHeight="1">
      <c r="A2855" s="4" t="s">
        <v>6680</v>
      </c>
      <c r="B2855" s="5" t="s">
        <v>6680</v>
      </c>
      <c r="C2855" s="5" t="s">
        <v>34</v>
      </c>
      <c r="D2855" s="5" t="s">
        <v>35</v>
      </c>
      <c r="E2855" s="5" t="s">
        <v>282</v>
      </c>
      <c r="F2855" s="9">
        <v>16</v>
      </c>
      <c r="G2855" s="9">
        <v>185</v>
      </c>
      <c r="H2855" s="5" t="s">
        <v>20</v>
      </c>
      <c r="I2855" s="5" t="s">
        <v>6681</v>
      </c>
      <c r="J2855" s="12" t="str">
        <f>HYPERLINK("https://www.boe.es/gazeta/dias/1807/02/17/pdfs/GMD-1807-16.pdf#page=9","Abrir facsímil")</f>
        <v>Abrir facsímil</v>
      </c>
      <c r="K2855" s="15" t="s">
        <v>22</v>
      </c>
    </row>
    <row r="2856" spans="1:11" ht="42" customHeight="1">
      <c r="A2856" s="4" t="s">
        <v>6682</v>
      </c>
      <c r="B2856" s="5" t="s">
        <v>6682</v>
      </c>
      <c r="C2856" s="5" t="s">
        <v>34</v>
      </c>
      <c r="D2856" s="5" t="s">
        <v>35</v>
      </c>
      <c r="E2856" s="5" t="s">
        <v>127</v>
      </c>
      <c r="F2856" s="9">
        <v>81</v>
      </c>
      <c r="G2856" s="9">
        <v>946</v>
      </c>
      <c r="H2856" s="5" t="s">
        <v>20</v>
      </c>
      <c r="I2856" s="5" t="s">
        <v>6683</v>
      </c>
      <c r="J2856" s="12" t="str">
        <f>HYPERLINK("https://www.boe.es/gazeta/dias/1807/09/11/pdfs/GMD-1807-81.pdf#page=10","Abrir facsímil")</f>
        <v>Abrir facsímil</v>
      </c>
      <c r="K2856" s="15" t="s">
        <v>22</v>
      </c>
    </row>
    <row r="2857" spans="1:11" ht="42" customHeight="1">
      <c r="A2857" s="4" t="s">
        <v>6684</v>
      </c>
      <c r="B2857" s="5" t="s">
        <v>6684</v>
      </c>
      <c r="C2857" s="5" t="s">
        <v>34</v>
      </c>
      <c r="D2857" s="5" t="s">
        <v>35</v>
      </c>
      <c r="E2857" s="5" t="s">
        <v>471</v>
      </c>
      <c r="F2857" s="9">
        <v>51</v>
      </c>
      <c r="G2857" s="9">
        <v>605</v>
      </c>
      <c r="H2857" s="5" t="s">
        <v>20</v>
      </c>
      <c r="I2857" s="5" t="s">
        <v>6685</v>
      </c>
      <c r="J2857" s="12" t="str">
        <f>HYPERLINK("https://www.boe.es/gazeta/dias/1807/06/16/pdfs/GMD-1807-51.pdf#page=7","Abrir facsímil")</f>
        <v>Abrir facsímil</v>
      </c>
      <c r="K2857" s="15" t="s">
        <v>22</v>
      </c>
    </row>
    <row r="2858" spans="1:11" ht="42" customHeight="1">
      <c r="A2858" s="4" t="s">
        <v>6686</v>
      </c>
      <c r="B2858" s="5" t="s">
        <v>6686</v>
      </c>
      <c r="C2858" s="5" t="s">
        <v>28</v>
      </c>
      <c r="D2858" s="5" t="s">
        <v>29</v>
      </c>
      <c r="E2858" s="5" t="s">
        <v>447</v>
      </c>
      <c r="F2858" s="9">
        <v>65</v>
      </c>
      <c r="G2858" s="9">
        <v>756</v>
      </c>
      <c r="H2858" s="5" t="s">
        <v>20</v>
      </c>
      <c r="I2858" s="5" t="s">
        <v>6687</v>
      </c>
      <c r="J2858" s="12" t="str">
        <f>HYPERLINK("https://www.boe.es/gazeta/dias/1807/07/24/pdfs/GMD-1807-65.pdf#page=6","Abrir facsímil")</f>
        <v>Abrir facsímil</v>
      </c>
      <c r="K2858" s="15" t="s">
        <v>22</v>
      </c>
    </row>
    <row r="2859" spans="1:11" ht="42" customHeight="1">
      <c r="A2859" s="4" t="s">
        <v>6688</v>
      </c>
      <c r="B2859" s="5" t="s">
        <v>6688</v>
      </c>
      <c r="C2859" s="5" t="s">
        <v>34</v>
      </c>
      <c r="D2859" s="5" t="s">
        <v>35</v>
      </c>
      <c r="E2859" s="5" t="s">
        <v>376</v>
      </c>
      <c r="F2859" s="9">
        <v>19</v>
      </c>
      <c r="G2859" s="9">
        <v>226</v>
      </c>
      <c r="H2859" s="5" t="s">
        <v>20</v>
      </c>
      <c r="I2859" s="5" t="s">
        <v>6689</v>
      </c>
      <c r="J2859" s="12" t="str">
        <f>HYPERLINK("https://www.boe.es/gazeta/dias/1807/02/27/pdfs/GMD-1807-19.pdf#page=10","Abrir facsímil")</f>
        <v>Abrir facsímil</v>
      </c>
      <c r="K2859" s="15" t="s">
        <v>22</v>
      </c>
    </row>
    <row r="2860" spans="1:11" ht="42" customHeight="1">
      <c r="A2860" s="4" t="s">
        <v>6690</v>
      </c>
      <c r="B2860" s="5" t="s">
        <v>6690</v>
      </c>
      <c r="C2860" s="5" t="s">
        <v>28</v>
      </c>
      <c r="D2860" s="5" t="s">
        <v>29</v>
      </c>
      <c r="E2860" s="5" t="s">
        <v>104</v>
      </c>
      <c r="F2860" s="9">
        <v>25</v>
      </c>
      <c r="G2860" s="9">
        <v>302</v>
      </c>
      <c r="H2860" s="5" t="s">
        <v>20</v>
      </c>
      <c r="I2860" s="5" t="s">
        <v>6691</v>
      </c>
      <c r="J2860" s="12" t="str">
        <f>HYPERLINK("https://www.boe.es/gazeta/dias/1807/03/17/pdfs/GMD-1807-25.pdf#page=10","Abrir facsímil")</f>
        <v>Abrir facsímil</v>
      </c>
      <c r="K2860" s="15" t="s">
        <v>22</v>
      </c>
    </row>
    <row r="2861" spans="1:11" ht="42" customHeight="1">
      <c r="A2861" s="4" t="s">
        <v>6690</v>
      </c>
      <c r="B2861" s="5" t="s">
        <v>6690</v>
      </c>
      <c r="C2861" s="5" t="s">
        <v>28</v>
      </c>
      <c r="D2861" s="5" t="s">
        <v>29</v>
      </c>
      <c r="E2861" s="5" t="s">
        <v>53</v>
      </c>
      <c r="F2861" s="9">
        <v>64</v>
      </c>
      <c r="G2861" s="9">
        <v>748</v>
      </c>
      <c r="H2861" s="5" t="s">
        <v>20</v>
      </c>
      <c r="I2861" s="5" t="s">
        <v>6692</v>
      </c>
      <c r="J2861" s="12" t="str">
        <f>HYPERLINK("https://www.boe.es/gazeta/dias/1807/07/21/pdfs/GMD-1807-64.pdf#page=10","Abrir facsímil")</f>
        <v>Abrir facsímil</v>
      </c>
      <c r="K2861" s="15" t="s">
        <v>22</v>
      </c>
    </row>
    <row r="2862" spans="1:11" ht="42" customHeight="1">
      <c r="A2862" s="4" t="s">
        <v>6693</v>
      </c>
      <c r="B2862" s="5" t="s">
        <v>6693</v>
      </c>
      <c r="C2862" s="5" t="s">
        <v>28</v>
      </c>
      <c r="D2862" s="5" t="s">
        <v>29</v>
      </c>
      <c r="E2862" s="5" t="s">
        <v>754</v>
      </c>
      <c r="F2862" s="9">
        <v>103</v>
      </c>
      <c r="G2862" s="9">
        <v>1203</v>
      </c>
      <c r="H2862" s="5" t="s">
        <v>20</v>
      </c>
      <c r="I2862" s="5" t="s">
        <v>6694</v>
      </c>
      <c r="J2862" s="12" t="str">
        <f>HYPERLINK("https://www.boe.es/gazeta/dias/1807/11/20/pdfs/GMD-1807-103.pdf#page=11","Abrir facsímil")</f>
        <v>Abrir facsímil</v>
      </c>
      <c r="K2862" s="15" t="s">
        <v>22</v>
      </c>
    </row>
    <row r="2863" spans="1:11" ht="42" customHeight="1">
      <c r="A2863" s="4" t="s">
        <v>6695</v>
      </c>
      <c r="B2863" s="5" t="s">
        <v>6695</v>
      </c>
      <c r="C2863" s="5" t="s">
        <v>34</v>
      </c>
      <c r="D2863" s="5" t="s">
        <v>35</v>
      </c>
      <c r="E2863" s="5" t="s">
        <v>305</v>
      </c>
      <c r="F2863" s="9">
        <v>53</v>
      </c>
      <c r="G2863" s="9">
        <v>634</v>
      </c>
      <c r="H2863" s="5" t="s">
        <v>20</v>
      </c>
      <c r="I2863" s="5" t="s">
        <v>6696</v>
      </c>
      <c r="J2863" s="12" t="str">
        <f>HYPERLINK("https://www.boe.es/gazeta/dias/1807/06/23/pdfs/GMD-1807-53.pdf#page=8","Abrir facsímil")</f>
        <v>Abrir facsímil</v>
      </c>
      <c r="K2863" s="15" t="s">
        <v>22</v>
      </c>
    </row>
    <row r="2864" spans="1:11" ht="42" customHeight="1">
      <c r="A2864" s="4" t="s">
        <v>6697</v>
      </c>
      <c r="B2864" s="5" t="s">
        <v>6697</v>
      </c>
      <c r="C2864" s="5" t="s">
        <v>34</v>
      </c>
      <c r="D2864" s="5" t="s">
        <v>35</v>
      </c>
      <c r="E2864" s="5" t="s">
        <v>418</v>
      </c>
      <c r="F2864" s="9">
        <v>4</v>
      </c>
      <c r="G2864" s="9">
        <v>40</v>
      </c>
      <c r="H2864" s="5" t="s">
        <v>20</v>
      </c>
      <c r="I2864" s="5" t="s">
        <v>6698</v>
      </c>
      <c r="J2864" s="12" t="str">
        <f>HYPERLINK("https://www.boe.es/gazeta/dias/1807/01/13/pdfs/GMD-1807-4.pdf#page=8","Abrir facsímil")</f>
        <v>Abrir facsímil</v>
      </c>
      <c r="K2864" s="15" t="s">
        <v>22</v>
      </c>
    </row>
    <row r="2865" spans="1:11" ht="42" customHeight="1">
      <c r="A2865" s="4" t="s">
        <v>6699</v>
      </c>
      <c r="B2865" s="5" t="s">
        <v>6699</v>
      </c>
      <c r="C2865" s="5" t="s">
        <v>89</v>
      </c>
      <c r="D2865" s="5" t="s">
        <v>90</v>
      </c>
      <c r="E2865" s="5" t="s">
        <v>65</v>
      </c>
      <c r="F2865" s="9">
        <v>52</v>
      </c>
      <c r="G2865" s="9">
        <v>626</v>
      </c>
      <c r="H2865" s="5" t="s">
        <v>20</v>
      </c>
      <c r="I2865" s="5" t="s">
        <v>6700</v>
      </c>
      <c r="J2865" s="12" t="str">
        <f>HYPERLINK("https://www.boe.es/gazeta/dias/1807/06/19/pdfs/GMD-1807-52.pdf#page=16","Abrir facsímil")</f>
        <v>Abrir facsímil</v>
      </c>
      <c r="K2865" s="15" t="s">
        <v>22</v>
      </c>
    </row>
    <row r="2866" spans="1:11" ht="42" customHeight="1">
      <c r="A2866" s="4" t="s">
        <v>6701</v>
      </c>
      <c r="B2866" s="5" t="s">
        <v>6701</v>
      </c>
      <c r="C2866" s="5" t="s">
        <v>24</v>
      </c>
      <c r="D2866" s="5" t="s">
        <v>18</v>
      </c>
      <c r="E2866" s="5" t="s">
        <v>270</v>
      </c>
      <c r="F2866" s="9">
        <v>8</v>
      </c>
      <c r="G2866" s="9">
        <v>96</v>
      </c>
      <c r="H2866" s="5" t="s">
        <v>20</v>
      </c>
      <c r="I2866" s="5" t="s">
        <v>6702</v>
      </c>
      <c r="J2866" s="12" t="str">
        <f>HYPERLINK("https://www.boe.es/gazeta/dias/1807/01/23/pdfs/GMD-1807-8.pdf#page=12","Abrir facsímil")</f>
        <v>Abrir facsímil</v>
      </c>
      <c r="K2866" s="15" t="s">
        <v>22</v>
      </c>
    </row>
    <row r="2867" spans="1:11" ht="42" customHeight="1">
      <c r="A2867" s="4" t="s">
        <v>6703</v>
      </c>
      <c r="B2867" s="5" t="s">
        <v>6703</v>
      </c>
      <c r="C2867" s="5" t="s">
        <v>34</v>
      </c>
      <c r="D2867" s="5" t="s">
        <v>35</v>
      </c>
      <c r="E2867" s="5" t="s">
        <v>76</v>
      </c>
      <c r="F2867" s="9">
        <v>7</v>
      </c>
      <c r="G2867" s="9">
        <v>78</v>
      </c>
      <c r="H2867" s="5" t="s">
        <v>20</v>
      </c>
      <c r="I2867" s="5" t="s">
        <v>6704</v>
      </c>
      <c r="J2867" s="12" t="str">
        <f>HYPERLINK("https://www.boe.es/gazeta/dias/1807/01/20/pdfs/GMD-1807-7.pdf#page=10","Abrir facsímil")</f>
        <v>Abrir facsímil</v>
      </c>
      <c r="K2867" s="15" t="s">
        <v>22</v>
      </c>
    </row>
    <row r="2868" spans="1:11" ht="42" customHeight="1">
      <c r="A2868" s="4" t="s">
        <v>6703</v>
      </c>
      <c r="B2868" s="5" t="s">
        <v>6703</v>
      </c>
      <c r="C2868" s="5" t="s">
        <v>34</v>
      </c>
      <c r="D2868" s="5" t="s">
        <v>35</v>
      </c>
      <c r="E2868" s="5" t="s">
        <v>314</v>
      </c>
      <c r="F2868" s="9" t="s">
        <v>315</v>
      </c>
      <c r="G2868" s="9">
        <v>1221</v>
      </c>
      <c r="H2868" s="5" t="s">
        <v>20</v>
      </c>
      <c r="I2868" s="5" t="s">
        <v>6705</v>
      </c>
      <c r="J2868" s="12" t="str">
        <f>HYPERLINK("https://www.boe.es/gazeta/dias/1807/11/26/pdfs/GMD-1807-105E.pdf#page=5","Abrir facsímil")</f>
        <v>Abrir facsímil</v>
      </c>
      <c r="K2868" s="15" t="s">
        <v>22</v>
      </c>
    </row>
    <row r="2869" spans="1:11" ht="42" customHeight="1">
      <c r="A2869" s="4" t="s">
        <v>6706</v>
      </c>
      <c r="B2869" s="5" t="s">
        <v>6706</v>
      </c>
      <c r="C2869" s="5" t="s">
        <v>34</v>
      </c>
      <c r="D2869" s="5" t="s">
        <v>35</v>
      </c>
      <c r="E2869" s="5" t="s">
        <v>131</v>
      </c>
      <c r="F2869" s="9">
        <v>28</v>
      </c>
      <c r="G2869" s="9">
        <v>334</v>
      </c>
      <c r="H2869" s="5" t="s">
        <v>20</v>
      </c>
      <c r="I2869" s="5" t="s">
        <v>6707</v>
      </c>
      <c r="J2869" s="12" t="str">
        <f>HYPERLINK("https://www.boe.es/gazeta/dias/1807/03/27/pdfs/GMD-1807-28.pdf#page=6","Abrir facsímil")</f>
        <v>Abrir facsímil</v>
      </c>
      <c r="K2869" s="15" t="s">
        <v>22</v>
      </c>
    </row>
    <row r="2870" spans="1:11" ht="42" customHeight="1">
      <c r="A2870" s="4" t="s">
        <v>6708</v>
      </c>
      <c r="B2870" s="5" t="s">
        <v>6708</v>
      </c>
      <c r="C2870" s="5" t="s">
        <v>34</v>
      </c>
      <c r="D2870" s="5" t="s">
        <v>35</v>
      </c>
      <c r="E2870" s="5" t="s">
        <v>414</v>
      </c>
      <c r="F2870" s="9">
        <v>40</v>
      </c>
      <c r="G2870" s="9">
        <v>475</v>
      </c>
      <c r="H2870" s="5" t="s">
        <v>20</v>
      </c>
      <c r="I2870" s="5" t="s">
        <v>6709</v>
      </c>
      <c r="J2870" s="12" t="str">
        <f>HYPERLINK("https://www.boe.es/gazeta/dias/1807/05/08/pdfs/GMD-1807-40.pdf#page=5","Abrir facsímil")</f>
        <v>Abrir facsímil</v>
      </c>
      <c r="K2870" s="15" t="s">
        <v>22</v>
      </c>
    </row>
    <row r="2871" spans="1:11" ht="42" customHeight="1">
      <c r="A2871" s="4" t="s">
        <v>6710</v>
      </c>
      <c r="B2871" s="5" t="s">
        <v>6710</v>
      </c>
      <c r="C2871" s="5" t="s">
        <v>28</v>
      </c>
      <c r="D2871" s="5" t="s">
        <v>29</v>
      </c>
      <c r="E2871" s="5" t="s">
        <v>94</v>
      </c>
      <c r="F2871" s="9">
        <v>22</v>
      </c>
      <c r="G2871" s="9">
        <v>254</v>
      </c>
      <c r="H2871" s="5" t="s">
        <v>20</v>
      </c>
      <c r="I2871" s="5" t="s">
        <v>6711</v>
      </c>
      <c r="J2871" s="12" t="str">
        <f>HYPERLINK("https://www.boe.es/gazeta/dias/1807/03/06/pdfs/GMD-1807-22.pdf#page=6","Abrir facsímil")</f>
        <v>Abrir facsímil</v>
      </c>
      <c r="K2871" s="15" t="s">
        <v>22</v>
      </c>
    </row>
    <row r="2872" spans="1:11" ht="42" customHeight="1">
      <c r="A2872" s="4" t="s">
        <v>6712</v>
      </c>
      <c r="B2872" s="5" t="s">
        <v>6713</v>
      </c>
      <c r="C2872" s="5" t="s">
        <v>28</v>
      </c>
      <c r="D2872" s="5" t="s">
        <v>29</v>
      </c>
      <c r="E2872" s="5" t="s">
        <v>127</v>
      </c>
      <c r="F2872" s="9">
        <v>81</v>
      </c>
      <c r="G2872" s="9">
        <v>948</v>
      </c>
      <c r="H2872" s="5" t="s">
        <v>20</v>
      </c>
      <c r="I2872" s="5" t="s">
        <v>6714</v>
      </c>
      <c r="J2872" s="12" t="str">
        <f>HYPERLINK("https://www.boe.es/gazeta/dias/1807/09/11/pdfs/GMD-1807-81.pdf#page=12","Abrir facsímil")</f>
        <v>Abrir facsímil</v>
      </c>
      <c r="K2872" s="15" t="s">
        <v>22</v>
      </c>
    </row>
    <row r="2873" spans="1:11" ht="42" customHeight="1">
      <c r="A2873" s="4" t="s">
        <v>6715</v>
      </c>
      <c r="B2873" s="5" t="s">
        <v>6715</v>
      </c>
      <c r="C2873" s="5" t="s">
        <v>17</v>
      </c>
      <c r="D2873" s="5" t="s">
        <v>18</v>
      </c>
      <c r="E2873" s="5" t="s">
        <v>393</v>
      </c>
      <c r="F2873" s="9">
        <v>15</v>
      </c>
      <c r="G2873" s="9">
        <v>172</v>
      </c>
      <c r="H2873" s="5" t="s">
        <v>20</v>
      </c>
      <c r="I2873" s="5" t="s">
        <v>6716</v>
      </c>
      <c r="J2873" s="12" t="str">
        <f>HYPERLINK("https://www.boe.es/gazeta/dias/1807/02/13/pdfs/GMD-1807-15.pdf#page=8","Abrir facsímil")</f>
        <v>Abrir facsímil</v>
      </c>
      <c r="K2873" s="15" t="s">
        <v>22</v>
      </c>
    </row>
    <row r="2874" spans="1:11" ht="42" customHeight="1">
      <c r="A2874" s="4" t="s">
        <v>6717</v>
      </c>
      <c r="B2874" s="5" t="s">
        <v>6717</v>
      </c>
      <c r="C2874" s="5" t="s">
        <v>17</v>
      </c>
      <c r="D2874" s="5" t="s">
        <v>18</v>
      </c>
      <c r="E2874" s="5" t="s">
        <v>666</v>
      </c>
      <c r="F2874" s="9">
        <v>43</v>
      </c>
      <c r="G2874" s="9">
        <v>515</v>
      </c>
      <c r="H2874" s="5" t="s">
        <v>20</v>
      </c>
      <c r="I2874" s="5" t="s">
        <v>6718</v>
      </c>
      <c r="J2874" s="12" t="str">
        <f>HYPERLINK("https://www.boe.es/gazeta/dias/1807/05/19/pdfs/GMD-1807-43.pdf#page=9","Abrir facsímil")</f>
        <v>Abrir facsímil</v>
      </c>
      <c r="K2874" s="15" t="s">
        <v>22</v>
      </c>
    </row>
    <row r="2875" spans="1:11" ht="42" customHeight="1">
      <c r="A2875" s="4" t="s">
        <v>6719</v>
      </c>
      <c r="B2875" s="5" t="s">
        <v>6719</v>
      </c>
      <c r="C2875" s="5" t="s">
        <v>34</v>
      </c>
      <c r="D2875" s="5" t="s">
        <v>35</v>
      </c>
      <c r="E2875" s="5" t="s">
        <v>350</v>
      </c>
      <c r="F2875" s="9">
        <v>112</v>
      </c>
      <c r="G2875" s="9">
        <v>1311</v>
      </c>
      <c r="H2875" s="5" t="s">
        <v>20</v>
      </c>
      <c r="I2875" s="5" t="s">
        <v>6720</v>
      </c>
      <c r="J2875" s="12" t="str">
        <f>HYPERLINK("https://www.boe.es/gazeta/dias/1807/12/18/pdfs/GMD-1807-112.pdf#page=11","Abrir facsímil")</f>
        <v>Abrir facsímil</v>
      </c>
      <c r="K2875" s="15" t="s">
        <v>22</v>
      </c>
    </row>
    <row r="2876" spans="1:11" ht="42" customHeight="1">
      <c r="A2876" s="4" t="s">
        <v>6721</v>
      </c>
      <c r="B2876" s="5" t="s">
        <v>6721</v>
      </c>
      <c r="C2876" s="5" t="s">
        <v>34</v>
      </c>
      <c r="D2876" s="5" t="s">
        <v>35</v>
      </c>
      <c r="E2876" s="5" t="s">
        <v>123</v>
      </c>
      <c r="F2876" s="9">
        <v>70</v>
      </c>
      <c r="G2876" s="9">
        <v>806</v>
      </c>
      <c r="H2876" s="5" t="s">
        <v>20</v>
      </c>
      <c r="I2876" s="5" t="s">
        <v>6722</v>
      </c>
      <c r="J2876" s="12" t="str">
        <f>HYPERLINK("https://www.boe.es/gazeta/dias/1807/08/04/pdfs/GMD-1807-70.pdf#page=10","Abrir facsímil")</f>
        <v>Abrir facsímil</v>
      </c>
      <c r="K2876" s="15" t="s">
        <v>22</v>
      </c>
    </row>
    <row r="2877" spans="1:11" ht="42" customHeight="1">
      <c r="A2877" s="4" t="s">
        <v>6723</v>
      </c>
      <c r="B2877" s="5" t="s">
        <v>6723</v>
      </c>
      <c r="C2877" s="5" t="s">
        <v>89</v>
      </c>
      <c r="D2877" s="5" t="s">
        <v>90</v>
      </c>
      <c r="E2877" s="5" t="s">
        <v>507</v>
      </c>
      <c r="F2877" s="9">
        <v>48</v>
      </c>
      <c r="G2877" s="9">
        <v>573</v>
      </c>
      <c r="H2877" s="5" t="s">
        <v>20</v>
      </c>
      <c r="I2877" s="5" t="s">
        <v>6724</v>
      </c>
      <c r="J2877" s="12" t="str">
        <f>HYPERLINK("https://www.boe.es/gazeta/dias/1807/06/05/pdfs/GMD-1807-48.pdf#page=11","Abrir facsímil")</f>
        <v>Abrir facsímil</v>
      </c>
      <c r="K2877" s="15" t="s">
        <v>22</v>
      </c>
    </row>
    <row r="2878" spans="1:11" ht="42" customHeight="1">
      <c r="A2878" s="4" t="s">
        <v>6725</v>
      </c>
      <c r="B2878" s="5" t="s">
        <v>6725</v>
      </c>
      <c r="C2878" s="5" t="s">
        <v>34</v>
      </c>
      <c r="D2878" s="5" t="s">
        <v>35</v>
      </c>
      <c r="E2878" s="5" t="s">
        <v>471</v>
      </c>
      <c r="F2878" s="9">
        <v>51</v>
      </c>
      <c r="G2878" s="9">
        <v>606</v>
      </c>
      <c r="H2878" s="5" t="s">
        <v>20</v>
      </c>
      <c r="I2878" s="5" t="s">
        <v>6726</v>
      </c>
      <c r="J2878" s="12" t="str">
        <f>HYPERLINK("https://www.boe.es/gazeta/dias/1807/06/16/pdfs/GMD-1807-51.pdf#page=8","Abrir facsímil")</f>
        <v>Abrir facsímil</v>
      </c>
      <c r="K2878" s="15" t="s">
        <v>22</v>
      </c>
    </row>
    <row r="2879" spans="1:11" ht="42" customHeight="1">
      <c r="A2879" s="4" t="s">
        <v>6727</v>
      </c>
      <c r="B2879" s="5" t="s">
        <v>6727</v>
      </c>
      <c r="C2879" s="5" t="s">
        <v>89</v>
      </c>
      <c r="D2879" s="5" t="s">
        <v>90</v>
      </c>
      <c r="E2879" s="5" t="s">
        <v>301</v>
      </c>
      <c r="F2879" s="9">
        <v>89</v>
      </c>
      <c r="G2879" s="9">
        <v>1031</v>
      </c>
      <c r="H2879" s="5" t="s">
        <v>20</v>
      </c>
      <c r="I2879" s="5" t="s">
        <v>6728</v>
      </c>
      <c r="J2879" s="12" t="str">
        <f>HYPERLINK("https://www.boe.es/gazeta/dias/1807/10/02/pdfs/GMD-1807-89.pdf#page=11","Abrir facsímil")</f>
        <v>Abrir facsímil</v>
      </c>
      <c r="K2879" s="15" t="s">
        <v>22</v>
      </c>
    </row>
    <row r="2880" spans="1:11" ht="42" customHeight="1">
      <c r="A2880" s="4" t="s">
        <v>6729</v>
      </c>
      <c r="B2880" s="5" t="s">
        <v>6729</v>
      </c>
      <c r="C2880" s="5" t="s">
        <v>28</v>
      </c>
      <c r="D2880" s="5" t="s">
        <v>29</v>
      </c>
      <c r="E2880" s="5" t="s">
        <v>167</v>
      </c>
      <c r="F2880" s="9">
        <v>77</v>
      </c>
      <c r="G2880" s="9">
        <v>896</v>
      </c>
      <c r="H2880" s="5" t="s">
        <v>20</v>
      </c>
      <c r="I2880" s="5" t="s">
        <v>6730</v>
      </c>
      <c r="J2880" s="12" t="str">
        <f>HYPERLINK("https://www.boe.es/gazeta/dias/1807/08/28/pdfs/GMD-1807-77.pdf#page=12","Abrir facsímil")</f>
        <v>Abrir facsímil</v>
      </c>
      <c r="K2880" s="15" t="s">
        <v>22</v>
      </c>
    </row>
    <row r="2881" spans="1:11" ht="42" customHeight="1">
      <c r="A2881" s="4" t="s">
        <v>6731</v>
      </c>
      <c r="B2881" s="5" t="s">
        <v>6731</v>
      </c>
      <c r="C2881" s="5" t="s">
        <v>89</v>
      </c>
      <c r="D2881" s="5" t="s">
        <v>90</v>
      </c>
      <c r="E2881" s="5" t="s">
        <v>654</v>
      </c>
      <c r="F2881" s="9">
        <v>94</v>
      </c>
      <c r="G2881" s="9">
        <v>1096</v>
      </c>
      <c r="H2881" s="5" t="s">
        <v>20</v>
      </c>
      <c r="I2881" s="5" t="s">
        <v>6732</v>
      </c>
      <c r="J2881" s="12" t="str">
        <f>HYPERLINK("https://www.boe.es/gazeta/dias/1807/10/20/pdfs/GMD-1807-94.pdf#page=12","Abrir facsímil")</f>
        <v>Abrir facsímil</v>
      </c>
      <c r="K2881" s="15" t="s">
        <v>22</v>
      </c>
    </row>
    <row r="2882" spans="1:11" ht="42" customHeight="1">
      <c r="A2882" s="4" t="s">
        <v>6733</v>
      </c>
      <c r="B2882" s="5" t="s">
        <v>6733</v>
      </c>
      <c r="C2882" s="5" t="s">
        <v>28</v>
      </c>
      <c r="D2882" s="5" t="s">
        <v>29</v>
      </c>
      <c r="E2882" s="5" t="s">
        <v>156</v>
      </c>
      <c r="F2882" s="9">
        <v>74</v>
      </c>
      <c r="G2882" s="9">
        <v>855</v>
      </c>
      <c r="H2882" s="5" t="s">
        <v>20</v>
      </c>
      <c r="I2882" s="5" t="s">
        <v>6734</v>
      </c>
      <c r="J2882" s="12" t="str">
        <f>HYPERLINK("https://www.boe.es/gazeta/dias/1807/08/18/pdfs/GMD-1807-74.pdf#page=7","Abrir facsímil")</f>
        <v>Abrir facsímil</v>
      </c>
      <c r="K2882" s="15" t="s">
        <v>22</v>
      </c>
    </row>
    <row r="2883" spans="1:11" ht="42" customHeight="1">
      <c r="A2883" s="4" t="s">
        <v>6735</v>
      </c>
      <c r="B2883" s="5" t="s">
        <v>6735</v>
      </c>
      <c r="C2883" s="5" t="s">
        <v>89</v>
      </c>
      <c r="D2883" s="5" t="s">
        <v>90</v>
      </c>
      <c r="E2883" s="5" t="s">
        <v>620</v>
      </c>
      <c r="F2883" s="9">
        <v>84</v>
      </c>
      <c r="G2883" s="9">
        <v>984</v>
      </c>
      <c r="H2883" s="5" t="s">
        <v>20</v>
      </c>
      <c r="I2883" s="5" t="s">
        <v>6736</v>
      </c>
      <c r="J2883" s="12" t="str">
        <f>HYPERLINK("https://www.boe.es/gazeta/dias/1807/09/22/pdfs/GMD-1807-84.pdf#page=12","Abrir facsímil")</f>
        <v>Abrir facsímil</v>
      </c>
      <c r="K2883" s="15" t="s">
        <v>22</v>
      </c>
    </row>
    <row r="2884" spans="1:11" ht="42" customHeight="1">
      <c r="A2884" s="4" t="s">
        <v>6737</v>
      </c>
      <c r="B2884" s="5" t="s">
        <v>6737</v>
      </c>
      <c r="C2884" s="5" t="s">
        <v>34</v>
      </c>
      <c r="D2884" s="5" t="s">
        <v>35</v>
      </c>
      <c r="E2884" s="5" t="s">
        <v>314</v>
      </c>
      <c r="F2884" s="9" t="s">
        <v>315</v>
      </c>
      <c r="G2884" s="9">
        <v>1220</v>
      </c>
      <c r="H2884" s="5" t="s">
        <v>20</v>
      </c>
      <c r="I2884" s="5" t="s">
        <v>6738</v>
      </c>
      <c r="J2884" s="12" t="str">
        <f>HYPERLINK("https://www.boe.es/gazeta/dias/1807/11/26/pdfs/GMD-1807-105E.pdf#page=4","Abrir facsímil")</f>
        <v>Abrir facsímil</v>
      </c>
      <c r="K2884" s="15" t="s">
        <v>22</v>
      </c>
    </row>
    <row r="2885" spans="1:11" ht="42" customHeight="1">
      <c r="A2885" s="4" t="s">
        <v>6739</v>
      </c>
      <c r="B2885" s="5" t="s">
        <v>6739</v>
      </c>
      <c r="C2885" s="5" t="s">
        <v>34</v>
      </c>
      <c r="D2885" s="5" t="s">
        <v>35</v>
      </c>
      <c r="E2885" s="5" t="s">
        <v>30</v>
      </c>
      <c r="F2885" s="9">
        <v>13</v>
      </c>
      <c r="G2885" s="9">
        <v>149</v>
      </c>
      <c r="H2885" s="5" t="s">
        <v>20</v>
      </c>
      <c r="I2885" s="5" t="s">
        <v>6740</v>
      </c>
      <c r="J2885" s="12" t="str">
        <f>HYPERLINK("https://www.boe.es/gazeta/dias/1807/02/06/pdfs/GMD-1807-13.pdf#page=9","Abrir facsímil")</f>
        <v>Abrir facsímil</v>
      </c>
      <c r="K2885" s="15" t="s">
        <v>22</v>
      </c>
    </row>
    <row r="2886" spans="1:11" ht="42" customHeight="1">
      <c r="A2886" s="4" t="s">
        <v>6739</v>
      </c>
      <c r="B2886" s="5" t="s">
        <v>6739</v>
      </c>
      <c r="C2886" s="5" t="s">
        <v>34</v>
      </c>
      <c r="D2886" s="5" t="s">
        <v>35</v>
      </c>
      <c r="E2886" s="5" t="s">
        <v>51</v>
      </c>
      <c r="F2886" s="9">
        <v>62</v>
      </c>
      <c r="G2886" s="9">
        <v>732</v>
      </c>
      <c r="H2886" s="5" t="s">
        <v>20</v>
      </c>
      <c r="I2886" s="5" t="s">
        <v>6741</v>
      </c>
      <c r="J2886" s="12" t="str">
        <f>HYPERLINK("https://www.boe.es/gazeta/dias/1807/07/17/pdfs/GMD-1807-62.pdf#page=6","Abrir facsímil")</f>
        <v>Abrir facsímil</v>
      </c>
      <c r="K2886" s="15" t="s">
        <v>22</v>
      </c>
    </row>
    <row r="2887" spans="1:11" ht="42" customHeight="1">
      <c r="A2887" s="4" t="s">
        <v>6742</v>
      </c>
      <c r="B2887" s="5" t="s">
        <v>6742</v>
      </c>
      <c r="C2887" s="5" t="s">
        <v>24</v>
      </c>
      <c r="D2887" s="5" t="s">
        <v>18</v>
      </c>
      <c r="E2887" s="5" t="s">
        <v>62</v>
      </c>
      <c r="F2887" s="9">
        <v>68</v>
      </c>
      <c r="G2887" s="9">
        <v>785</v>
      </c>
      <c r="H2887" s="5" t="s">
        <v>20</v>
      </c>
      <c r="I2887" s="5" t="s">
        <v>6743</v>
      </c>
      <c r="J2887" s="12" t="str">
        <f>HYPERLINK("https://www.boe.es/gazeta/dias/1807/07/31/pdfs/GMD-1807-68.pdf#page=9","Abrir facsímil")</f>
        <v>Abrir facsímil</v>
      </c>
      <c r="K2887" s="15" t="s">
        <v>22</v>
      </c>
    </row>
    <row r="2888" spans="1:11" ht="42" customHeight="1">
      <c r="A2888" s="4" t="s">
        <v>6744</v>
      </c>
      <c r="B2888" s="5" t="s">
        <v>6744</v>
      </c>
      <c r="C2888" s="5" t="s">
        <v>28</v>
      </c>
      <c r="D2888" s="5" t="s">
        <v>29</v>
      </c>
      <c r="E2888" s="5" t="s">
        <v>111</v>
      </c>
      <c r="F2888" s="9">
        <v>90</v>
      </c>
      <c r="G2888" s="9">
        <v>1048</v>
      </c>
      <c r="H2888" s="5" t="s">
        <v>20</v>
      </c>
      <c r="I2888" s="5" t="s">
        <v>6745</v>
      </c>
      <c r="J2888" s="12" t="str">
        <f>HYPERLINK("https://www.boe.es/gazeta/dias/1807/10/06/pdfs/GMD-1807-90.pdf#page=16","Abrir facsímil")</f>
        <v>Abrir facsímil</v>
      </c>
      <c r="K2888" s="15" t="s">
        <v>22</v>
      </c>
    </row>
    <row r="2889" spans="1:11" ht="42" customHeight="1">
      <c r="A2889" s="4" t="s">
        <v>6746</v>
      </c>
      <c r="B2889" s="5" t="s">
        <v>6747</v>
      </c>
      <c r="C2889" s="5" t="s">
        <v>24</v>
      </c>
      <c r="D2889" s="5" t="s">
        <v>18</v>
      </c>
      <c r="E2889" s="5" t="s">
        <v>81</v>
      </c>
      <c r="F2889" s="9">
        <v>49</v>
      </c>
      <c r="G2889" s="9">
        <v>585</v>
      </c>
      <c r="H2889" s="5" t="s">
        <v>20</v>
      </c>
      <c r="I2889" s="5" t="s">
        <v>6748</v>
      </c>
      <c r="J2889" s="12" t="str">
        <f>HYPERLINK("https://www.boe.es/gazeta/dias/1807/06/09/pdfs/GMD-1807-49.pdf#page=11","Abrir facsímil")</f>
        <v>Abrir facsímil</v>
      </c>
      <c r="K2889" s="15" t="s">
        <v>22</v>
      </c>
    </row>
    <row r="2890" spans="1:11" ht="42" customHeight="1">
      <c r="A2890" s="4" t="s">
        <v>6749</v>
      </c>
      <c r="B2890" s="5" t="s">
        <v>6749</v>
      </c>
      <c r="C2890" s="5" t="s">
        <v>34</v>
      </c>
      <c r="D2890" s="5" t="s">
        <v>35</v>
      </c>
      <c r="E2890" s="5" t="s">
        <v>42</v>
      </c>
      <c r="F2890" s="9">
        <v>31</v>
      </c>
      <c r="G2890" s="9">
        <v>368</v>
      </c>
      <c r="H2890" s="5" t="s">
        <v>20</v>
      </c>
      <c r="I2890" s="5" t="s">
        <v>6750</v>
      </c>
      <c r="J2890" s="12" t="str">
        <f>HYPERLINK("https://www.boe.es/gazeta/dias/1807/04/07/pdfs/GMD-1807-31.pdf#page=8","Abrir facsímil")</f>
        <v>Abrir facsímil</v>
      </c>
      <c r="K2890" s="15" t="s">
        <v>22</v>
      </c>
    </row>
    <row r="2891" spans="1:11" ht="42" customHeight="1">
      <c r="A2891" s="4" t="s">
        <v>6751</v>
      </c>
      <c r="B2891" s="5" t="s">
        <v>6751</v>
      </c>
      <c r="C2891" s="5" t="s">
        <v>17</v>
      </c>
      <c r="D2891" s="5" t="s">
        <v>18</v>
      </c>
      <c r="E2891" s="5" t="s">
        <v>1354</v>
      </c>
      <c r="F2891" s="9">
        <v>83</v>
      </c>
      <c r="G2891" s="9">
        <v>969</v>
      </c>
      <c r="H2891" s="5" t="s">
        <v>20</v>
      </c>
      <c r="I2891" s="5" t="s">
        <v>6752</v>
      </c>
      <c r="J2891" s="12" t="str">
        <f>HYPERLINK("https://www.boe.es/gazeta/dias/1807/09/18/pdfs/GMD-1807-83.pdf#page=9","Abrir facsímil")</f>
        <v>Abrir facsímil</v>
      </c>
      <c r="K2891" s="15" t="s">
        <v>22</v>
      </c>
    </row>
    <row r="2892" spans="1:11" ht="42" customHeight="1">
      <c r="A2892" s="4" t="s">
        <v>6753</v>
      </c>
      <c r="B2892" s="5" t="s">
        <v>6753</v>
      </c>
      <c r="C2892" s="5" t="s">
        <v>34</v>
      </c>
      <c r="D2892" s="5" t="s">
        <v>35</v>
      </c>
      <c r="E2892" s="5" t="s">
        <v>471</v>
      </c>
      <c r="F2892" s="9">
        <v>51</v>
      </c>
      <c r="G2892" s="9">
        <v>605</v>
      </c>
      <c r="H2892" s="5" t="s">
        <v>20</v>
      </c>
      <c r="I2892" s="5" t="s">
        <v>6754</v>
      </c>
      <c r="J2892" s="12" t="str">
        <f>HYPERLINK("https://www.boe.es/gazeta/dias/1807/06/16/pdfs/GMD-1807-51.pdf#page=7","Abrir facsímil")</f>
        <v>Abrir facsímil</v>
      </c>
      <c r="K2892" s="15" t="s">
        <v>22</v>
      </c>
    </row>
    <row r="2893" spans="1:11" ht="42" customHeight="1">
      <c r="A2893" s="4" t="s">
        <v>6755</v>
      </c>
      <c r="B2893" s="5" t="s">
        <v>6755</v>
      </c>
      <c r="C2893" s="5" t="s">
        <v>24</v>
      </c>
      <c r="D2893" s="5" t="s">
        <v>18</v>
      </c>
      <c r="E2893" s="5" t="s">
        <v>46</v>
      </c>
      <c r="F2893" s="9">
        <v>78</v>
      </c>
      <c r="G2893" s="9">
        <v>907</v>
      </c>
      <c r="H2893" s="5" t="s">
        <v>20</v>
      </c>
      <c r="I2893" s="5" t="s">
        <v>6756</v>
      </c>
      <c r="J2893" s="12" t="str">
        <f>HYPERLINK("https://www.boe.es/gazeta/dias/1807/09/01/pdfs/GMD-1807-78.pdf#page=11","Abrir facsímil")</f>
        <v>Abrir facsímil</v>
      </c>
      <c r="K2893" s="15" t="s">
        <v>22</v>
      </c>
    </row>
    <row r="2894" spans="1:11" ht="42" customHeight="1">
      <c r="A2894" s="4" t="s">
        <v>6757</v>
      </c>
      <c r="B2894" s="5" t="s">
        <v>6757</v>
      </c>
      <c r="C2894" s="5" t="s">
        <v>34</v>
      </c>
      <c r="D2894" s="5" t="s">
        <v>35</v>
      </c>
      <c r="E2894" s="5" t="s">
        <v>2914</v>
      </c>
      <c r="F2894" s="9">
        <v>29</v>
      </c>
      <c r="G2894" s="9">
        <v>345</v>
      </c>
      <c r="H2894" s="5" t="s">
        <v>20</v>
      </c>
      <c r="I2894" s="5" t="s">
        <v>6758</v>
      </c>
      <c r="J2894" s="12" t="str">
        <f>HYPERLINK("https://www.boe.es/gazeta/dias/1807/03/31/pdfs/GMD-1807-29.pdf#page=9","Abrir facsímil")</f>
        <v>Abrir facsímil</v>
      </c>
      <c r="K2894" s="15" t="s">
        <v>22</v>
      </c>
    </row>
    <row r="2895" spans="1:11" ht="42" customHeight="1">
      <c r="A2895" s="4" t="s">
        <v>6759</v>
      </c>
      <c r="B2895" s="5" t="s">
        <v>6759</v>
      </c>
      <c r="C2895" s="5" t="s">
        <v>28</v>
      </c>
      <c r="D2895" s="5" t="s">
        <v>29</v>
      </c>
      <c r="E2895" s="5" t="s">
        <v>346</v>
      </c>
      <c r="F2895" s="9">
        <v>21</v>
      </c>
      <c r="G2895" s="9">
        <v>246</v>
      </c>
      <c r="H2895" s="5" t="s">
        <v>20</v>
      </c>
      <c r="I2895" s="5" t="s">
        <v>6760</v>
      </c>
      <c r="J2895" s="12" t="str">
        <f>HYPERLINK("https://www.boe.es/gazeta/dias/1807/03/03/pdfs/GMD-1807-21.pdf#page=10","Abrir facsímil")</f>
        <v>Abrir facsímil</v>
      </c>
      <c r="K2895" s="15" t="s">
        <v>22</v>
      </c>
    </row>
    <row r="2896" spans="1:11" ht="42" customHeight="1">
      <c r="A2896" s="4" t="s">
        <v>6761</v>
      </c>
      <c r="B2896" s="5" t="s">
        <v>6761</v>
      </c>
      <c r="C2896" s="5" t="s">
        <v>34</v>
      </c>
      <c r="D2896" s="5" t="s">
        <v>35</v>
      </c>
      <c r="E2896" s="5" t="s">
        <v>319</v>
      </c>
      <c r="F2896" s="9">
        <v>54</v>
      </c>
      <c r="G2896" s="9">
        <v>645</v>
      </c>
      <c r="H2896" s="5" t="s">
        <v>20</v>
      </c>
      <c r="I2896" s="5" t="s">
        <v>6762</v>
      </c>
      <c r="J2896" s="12" t="str">
        <f>HYPERLINK("https://www.boe.es/gazeta/dias/1807/06/26/pdfs/GMD-1807-54.pdf#page=7","Abrir facsímil")</f>
        <v>Abrir facsímil</v>
      </c>
      <c r="K2896" s="15" t="s">
        <v>22</v>
      </c>
    </row>
    <row r="2897" spans="1:11" ht="42" customHeight="1">
      <c r="A2897" s="4" t="s">
        <v>6763</v>
      </c>
      <c r="B2897" s="5" t="s">
        <v>6763</v>
      </c>
      <c r="C2897" s="5" t="s">
        <v>24</v>
      </c>
      <c r="D2897" s="5" t="s">
        <v>18</v>
      </c>
      <c r="E2897" s="5" t="s">
        <v>83</v>
      </c>
      <c r="F2897" s="9">
        <v>50</v>
      </c>
      <c r="G2897" s="9">
        <v>597</v>
      </c>
      <c r="H2897" s="5" t="s">
        <v>20</v>
      </c>
      <c r="I2897" s="5" t="s">
        <v>6764</v>
      </c>
      <c r="J2897" s="12" t="str">
        <f>HYPERLINK("https://www.boe.es/gazeta/dias/1807/06/12/pdfs/GMD-1807-50.pdf#page=11","Abrir facsímil")</f>
        <v>Abrir facsímil</v>
      </c>
      <c r="K2897" s="15" t="s">
        <v>22</v>
      </c>
    </row>
    <row r="2898" spans="1:11" ht="42" customHeight="1">
      <c r="A2898" s="4" t="s">
        <v>6765</v>
      </c>
      <c r="B2898" s="5" t="s">
        <v>6766</v>
      </c>
      <c r="C2898" s="5" t="s">
        <v>24</v>
      </c>
      <c r="D2898" s="5" t="s">
        <v>18</v>
      </c>
      <c r="E2898" s="5" t="s">
        <v>301</v>
      </c>
      <c r="F2898" s="9">
        <v>89</v>
      </c>
      <c r="G2898" s="9">
        <v>1031</v>
      </c>
      <c r="H2898" s="5" t="s">
        <v>20</v>
      </c>
      <c r="I2898" s="5" t="s">
        <v>6767</v>
      </c>
      <c r="J2898" s="12" t="str">
        <f>HYPERLINK("https://www.boe.es/gazeta/dias/1807/10/02/pdfs/GMD-1807-89.pdf#page=11","Abrir facsímil")</f>
        <v>Abrir facsímil</v>
      </c>
      <c r="K2898" s="15" t="s">
        <v>22</v>
      </c>
    </row>
    <row r="2899" spans="1:11" ht="42" customHeight="1">
      <c r="A2899" s="4" t="s">
        <v>6768</v>
      </c>
      <c r="B2899" s="5" t="s">
        <v>6768</v>
      </c>
      <c r="C2899" s="5" t="s">
        <v>28</v>
      </c>
      <c r="D2899" s="5" t="s">
        <v>29</v>
      </c>
      <c r="E2899" s="5" t="s">
        <v>36</v>
      </c>
      <c r="F2899" s="9">
        <v>36</v>
      </c>
      <c r="G2899" s="9">
        <v>429</v>
      </c>
      <c r="H2899" s="5" t="s">
        <v>20</v>
      </c>
      <c r="I2899" s="5" t="s">
        <v>6769</v>
      </c>
      <c r="J2899" s="12" t="str">
        <f>HYPERLINK("https://www.boe.es/gazeta/dias/1807/04/24/pdfs/GMD-1807-36.pdf#page=9","Abrir facsímil")</f>
        <v>Abrir facsímil</v>
      </c>
      <c r="K2899" s="15" t="s">
        <v>22</v>
      </c>
    </row>
    <row r="2900" spans="1:11" ht="42" customHeight="1">
      <c r="A2900" s="4" t="s">
        <v>6770</v>
      </c>
      <c r="B2900" s="5" t="s">
        <v>6770</v>
      </c>
      <c r="C2900" s="5" t="s">
        <v>28</v>
      </c>
      <c r="D2900" s="5" t="s">
        <v>29</v>
      </c>
      <c r="E2900" s="5" t="s">
        <v>346</v>
      </c>
      <c r="F2900" s="9">
        <v>21</v>
      </c>
      <c r="G2900" s="9">
        <v>246</v>
      </c>
      <c r="H2900" s="5" t="s">
        <v>20</v>
      </c>
      <c r="I2900" s="5" t="s">
        <v>6771</v>
      </c>
      <c r="J2900" s="12" t="str">
        <f>HYPERLINK("https://www.boe.es/gazeta/dias/1807/03/03/pdfs/GMD-1807-21.pdf#page=10","Abrir facsímil")</f>
        <v>Abrir facsímil</v>
      </c>
      <c r="K2900" s="15" t="s">
        <v>22</v>
      </c>
    </row>
    <row r="2901" spans="1:11" ht="42" customHeight="1">
      <c r="A2901" s="4" t="s">
        <v>6772</v>
      </c>
      <c r="B2901" s="5" t="s">
        <v>6772</v>
      </c>
      <c r="C2901" s="5" t="s">
        <v>34</v>
      </c>
      <c r="D2901" s="5" t="s">
        <v>35</v>
      </c>
      <c r="E2901" s="5" t="s">
        <v>91</v>
      </c>
      <c r="F2901" s="9">
        <v>109</v>
      </c>
      <c r="G2901" s="9">
        <v>1272</v>
      </c>
      <c r="H2901" s="5" t="s">
        <v>20</v>
      </c>
      <c r="I2901" s="5" t="s">
        <v>6773</v>
      </c>
      <c r="J2901" s="12" t="str">
        <f>HYPERLINK("https://www.boe.es/gazeta/dias/1807/12/08/pdfs/GMD-1807-109.pdf#page=8","Abrir facsímil")</f>
        <v>Abrir facsímil</v>
      </c>
      <c r="K2901" s="15" t="s">
        <v>22</v>
      </c>
    </row>
    <row r="2902" spans="1:11" ht="42" customHeight="1">
      <c r="A2902" s="4" t="s">
        <v>6774</v>
      </c>
      <c r="B2902" s="5" t="s">
        <v>6774</v>
      </c>
      <c r="C2902" s="5" t="s">
        <v>28</v>
      </c>
      <c r="D2902" s="5" t="s">
        <v>29</v>
      </c>
      <c r="E2902" s="5" t="s">
        <v>447</v>
      </c>
      <c r="F2902" s="9">
        <v>65</v>
      </c>
      <c r="G2902" s="9">
        <v>761</v>
      </c>
      <c r="H2902" s="5" t="s">
        <v>20</v>
      </c>
      <c r="I2902" s="5" t="s">
        <v>6775</v>
      </c>
      <c r="J2902" s="12" t="str">
        <f>HYPERLINK("https://www.boe.es/gazeta/dias/1807/07/24/pdfs/GMD-1807-65.pdf#page=11","Abrir facsímil")</f>
        <v>Abrir facsímil</v>
      </c>
      <c r="K2902" s="15" t="s">
        <v>22</v>
      </c>
    </row>
    <row r="2903" spans="1:11" ht="42" customHeight="1">
      <c r="A2903" s="4" t="s">
        <v>6776</v>
      </c>
      <c r="B2903" s="5" t="s">
        <v>6776</v>
      </c>
      <c r="C2903" s="5" t="s">
        <v>24</v>
      </c>
      <c r="D2903" s="5" t="s">
        <v>18</v>
      </c>
      <c r="E2903" s="5" t="s">
        <v>471</v>
      </c>
      <c r="F2903" s="9">
        <v>51</v>
      </c>
      <c r="G2903" s="9">
        <v>609</v>
      </c>
      <c r="H2903" s="5" t="s">
        <v>20</v>
      </c>
      <c r="I2903" s="5" t="s">
        <v>6777</v>
      </c>
      <c r="J2903" s="12" t="str">
        <f>HYPERLINK("https://www.boe.es/gazeta/dias/1807/06/16/pdfs/GMD-1807-51.pdf#page=11","Abrir facsímil")</f>
        <v>Abrir facsímil</v>
      </c>
      <c r="K2903" s="15" t="s">
        <v>22</v>
      </c>
    </row>
    <row r="2904" spans="1:11" ht="42" customHeight="1">
      <c r="A2904" s="4" t="s">
        <v>6778</v>
      </c>
      <c r="B2904" s="5" t="s">
        <v>6778</v>
      </c>
      <c r="C2904" s="5" t="s">
        <v>28</v>
      </c>
      <c r="D2904" s="5" t="s">
        <v>29</v>
      </c>
      <c r="E2904" s="5" t="s">
        <v>71</v>
      </c>
      <c r="F2904" s="9">
        <v>35</v>
      </c>
      <c r="G2904" s="9">
        <v>416</v>
      </c>
      <c r="H2904" s="5" t="s">
        <v>20</v>
      </c>
      <c r="I2904" s="5" t="s">
        <v>6779</v>
      </c>
      <c r="J2904" s="12" t="str">
        <f>HYPERLINK("https://www.boe.es/gazeta/dias/1807/04/21/pdfs/GMD-1807-35.pdf#page=8","Abrir facsímil")</f>
        <v>Abrir facsímil</v>
      </c>
      <c r="K2904" s="15" t="s">
        <v>22</v>
      </c>
    </row>
    <row r="2905" spans="1:11" ht="42" customHeight="1">
      <c r="A2905" s="4" t="s">
        <v>6780</v>
      </c>
      <c r="B2905" s="5" t="s">
        <v>6780</v>
      </c>
      <c r="C2905" s="5" t="s">
        <v>17</v>
      </c>
      <c r="D2905" s="5" t="s">
        <v>18</v>
      </c>
      <c r="E2905" s="5" t="s">
        <v>51</v>
      </c>
      <c r="F2905" s="9">
        <v>62</v>
      </c>
      <c r="G2905" s="9">
        <v>734</v>
      </c>
      <c r="H2905" s="5" t="s">
        <v>20</v>
      </c>
      <c r="I2905" s="5" t="s">
        <v>6781</v>
      </c>
      <c r="J2905" s="12" t="str">
        <f>HYPERLINK("https://www.boe.es/gazeta/dias/1807/07/17/pdfs/GMD-1807-62.pdf#page=8","Abrir facsímil")</f>
        <v>Abrir facsímil</v>
      </c>
      <c r="K2905" s="15" t="s">
        <v>22</v>
      </c>
    </row>
    <row r="2906" spans="1:11" ht="42" customHeight="1">
      <c r="A2906" s="4" t="s">
        <v>6782</v>
      </c>
      <c r="B2906" s="5" t="s">
        <v>6782</v>
      </c>
      <c r="C2906" s="5" t="s">
        <v>34</v>
      </c>
      <c r="D2906" s="5" t="s">
        <v>35</v>
      </c>
      <c r="E2906" s="5" t="s">
        <v>62</v>
      </c>
      <c r="F2906" s="9">
        <v>68</v>
      </c>
      <c r="G2906" s="9">
        <v>788</v>
      </c>
      <c r="H2906" s="5" t="s">
        <v>20</v>
      </c>
      <c r="I2906" s="5" t="s">
        <v>6783</v>
      </c>
      <c r="J2906" s="12" t="str">
        <f>HYPERLINK("https://www.boe.es/gazeta/dias/1807/07/31/pdfs/GMD-1807-68.pdf#page=12","Abrir facsímil")</f>
        <v>Abrir facsímil</v>
      </c>
      <c r="K2906" s="15" t="s">
        <v>22</v>
      </c>
    </row>
    <row r="2907" spans="1:11" ht="42" customHeight="1">
      <c r="A2907" s="4" t="s">
        <v>6784</v>
      </c>
      <c r="B2907" s="5" t="s">
        <v>6784</v>
      </c>
      <c r="C2907" s="5" t="s">
        <v>34</v>
      </c>
      <c r="D2907" s="5" t="s">
        <v>35</v>
      </c>
      <c r="E2907" s="5" t="s">
        <v>478</v>
      </c>
      <c r="F2907" s="9">
        <v>30</v>
      </c>
      <c r="G2907" s="9">
        <v>357</v>
      </c>
      <c r="H2907" s="5" t="s">
        <v>20</v>
      </c>
      <c r="I2907" s="5" t="s">
        <v>6785</v>
      </c>
      <c r="J2907" s="12" t="str">
        <f>HYPERLINK("https://www.boe.es/gazeta/dias/1807/04/03/pdfs/GMD-1807-30.pdf#page=9","Abrir facsímil")</f>
        <v>Abrir facsímil</v>
      </c>
      <c r="K2907" s="15" t="s">
        <v>22</v>
      </c>
    </row>
    <row r="2908" spans="1:11" ht="42" customHeight="1">
      <c r="A2908" s="4" t="s">
        <v>6786</v>
      </c>
      <c r="B2908" s="5" t="s">
        <v>6786</v>
      </c>
      <c r="C2908" s="5" t="s">
        <v>17</v>
      </c>
      <c r="D2908" s="5" t="s">
        <v>18</v>
      </c>
      <c r="E2908" s="5" t="s">
        <v>266</v>
      </c>
      <c r="F2908" s="9">
        <v>67</v>
      </c>
      <c r="G2908" s="9">
        <v>775</v>
      </c>
      <c r="H2908" s="5" t="s">
        <v>20</v>
      </c>
      <c r="I2908" s="5" t="s">
        <v>6787</v>
      </c>
      <c r="J2908" s="12" t="str">
        <f>HYPERLINK("https://www.boe.es/gazeta/dias/1807/07/28/pdfs/GMD-1807-67.pdf#page=11","Abrir facsímil")</f>
        <v>Abrir facsímil</v>
      </c>
      <c r="K2908" s="15" t="s">
        <v>22</v>
      </c>
    </row>
    <row r="2909" spans="1:11" ht="42" customHeight="1">
      <c r="A2909" s="4" t="s">
        <v>6788</v>
      </c>
      <c r="B2909" s="5" t="s">
        <v>6788</v>
      </c>
      <c r="C2909" s="5" t="s">
        <v>89</v>
      </c>
      <c r="D2909" s="5" t="s">
        <v>90</v>
      </c>
      <c r="E2909" s="5" t="s">
        <v>350</v>
      </c>
      <c r="F2909" s="9">
        <v>112</v>
      </c>
      <c r="G2909" s="9">
        <v>1311</v>
      </c>
      <c r="H2909" s="5" t="s">
        <v>20</v>
      </c>
      <c r="I2909" s="5" t="s">
        <v>6789</v>
      </c>
      <c r="J2909" s="12" t="str">
        <f>HYPERLINK("https://www.boe.es/gazeta/dias/1807/12/18/pdfs/GMD-1807-112.pdf#page=11","Abrir facsímil")</f>
        <v>Abrir facsímil</v>
      </c>
      <c r="K2909" s="15" t="s">
        <v>22</v>
      </c>
    </row>
    <row r="2910" spans="1:11" ht="42" customHeight="1">
      <c r="A2910" s="4" t="s">
        <v>6790</v>
      </c>
      <c r="B2910" s="5" t="s">
        <v>6790</v>
      </c>
      <c r="C2910" s="5" t="s">
        <v>24</v>
      </c>
      <c r="D2910" s="5" t="s">
        <v>18</v>
      </c>
      <c r="E2910" s="5" t="s">
        <v>221</v>
      </c>
      <c r="F2910" s="9">
        <v>73</v>
      </c>
      <c r="G2910" s="9">
        <v>844</v>
      </c>
      <c r="H2910" s="5" t="s">
        <v>20</v>
      </c>
      <c r="I2910" s="5" t="s">
        <v>6791</v>
      </c>
      <c r="J2910" s="12" t="str">
        <f>HYPERLINK("https://www.boe.es/gazeta/dias/1807/08/14/pdfs/GMD-1807-73.pdf#page=8","Abrir facsímil")</f>
        <v>Abrir facsímil</v>
      </c>
      <c r="K2910" s="15" t="s">
        <v>22</v>
      </c>
    </row>
    <row r="2911" spans="1:11" ht="42" customHeight="1">
      <c r="A2911" s="4" t="s">
        <v>6792</v>
      </c>
      <c r="B2911" s="5" t="s">
        <v>6792</v>
      </c>
      <c r="C2911" s="5" t="s">
        <v>69</v>
      </c>
      <c r="D2911" s="5" t="s">
        <v>70</v>
      </c>
      <c r="E2911" s="5" t="s">
        <v>71</v>
      </c>
      <c r="F2911" s="9">
        <v>35</v>
      </c>
      <c r="G2911" s="9" t="s">
        <v>2055</v>
      </c>
      <c r="H2911" s="5" t="s">
        <v>20</v>
      </c>
      <c r="I2911" s="5" t="s">
        <v>6793</v>
      </c>
      <c r="J2911" s="12" t="str">
        <f>HYPERLINK("https://www.boe.es/gazeta/dias/1807/04/21/pdfs/C00001-00004.pdf#page=2","Abrir facsímil")</f>
        <v>Abrir facsímil</v>
      </c>
      <c r="K2911" s="15" t="s">
        <v>22</v>
      </c>
    </row>
    <row r="2912" spans="1:11" ht="42" customHeight="1">
      <c r="A2912" s="4" t="s">
        <v>6794</v>
      </c>
      <c r="B2912" s="5" t="s">
        <v>6794</v>
      </c>
      <c r="C2912" s="5" t="s">
        <v>34</v>
      </c>
      <c r="D2912" s="5" t="s">
        <v>35</v>
      </c>
      <c r="E2912" s="5" t="s">
        <v>245</v>
      </c>
      <c r="F2912" s="9">
        <v>97</v>
      </c>
      <c r="G2912" s="9">
        <v>1128</v>
      </c>
      <c r="H2912" s="5" t="s">
        <v>20</v>
      </c>
      <c r="I2912" s="5" t="s">
        <v>6795</v>
      </c>
      <c r="J2912" s="12" t="str">
        <f>HYPERLINK("https://www.boe.es/gazeta/dias/1807/10/30/pdfs/GMD-1807-97.pdf#page=8","Abrir facsímil")</f>
        <v>Abrir facsímil</v>
      </c>
      <c r="K2912" s="15" t="s">
        <v>22</v>
      </c>
    </row>
    <row r="2913" spans="1:11" ht="42" customHeight="1">
      <c r="A2913" s="4" t="s">
        <v>6796</v>
      </c>
      <c r="B2913" s="5" t="s">
        <v>6796</v>
      </c>
      <c r="C2913" s="5" t="s">
        <v>24</v>
      </c>
      <c r="D2913" s="5" t="s">
        <v>18</v>
      </c>
      <c r="E2913" s="5" t="s">
        <v>152</v>
      </c>
      <c r="F2913" s="9">
        <v>61</v>
      </c>
      <c r="G2913" s="9">
        <v>723</v>
      </c>
      <c r="H2913" s="5" t="s">
        <v>20</v>
      </c>
      <c r="I2913" s="5" t="s">
        <v>6797</v>
      </c>
      <c r="J2913" s="12" t="str">
        <f>HYPERLINK("https://www.boe.es/gazeta/dias/1807/07/14/pdfs/GMD-1807-61.pdf#page=9","Abrir facsímil")</f>
        <v>Abrir facsímil</v>
      </c>
      <c r="K2913" s="15" t="s">
        <v>22</v>
      </c>
    </row>
    <row r="2914" spans="1:11" ht="42" customHeight="1">
      <c r="A2914" s="4" t="s">
        <v>6798</v>
      </c>
      <c r="B2914" s="5" t="s">
        <v>6798</v>
      </c>
      <c r="C2914" s="5" t="s">
        <v>34</v>
      </c>
      <c r="D2914" s="5" t="s">
        <v>35</v>
      </c>
      <c r="E2914" s="5" t="s">
        <v>1076</v>
      </c>
      <c r="F2914" s="9">
        <v>96</v>
      </c>
      <c r="G2914" s="9">
        <v>1118</v>
      </c>
      <c r="H2914" s="5" t="s">
        <v>20</v>
      </c>
      <c r="I2914" s="5" t="s">
        <v>6799</v>
      </c>
      <c r="J2914" s="12" t="str">
        <f>HYPERLINK("https://www.boe.es/gazeta/dias/1807/10/27/pdfs/GMD-1807-96.pdf#page=10","Abrir facsímil")</f>
        <v>Abrir facsímil</v>
      </c>
      <c r="K2914" s="15" t="s">
        <v>22</v>
      </c>
    </row>
    <row r="2915" spans="1:11" ht="42" customHeight="1">
      <c r="A2915" s="4" t="s">
        <v>6800</v>
      </c>
      <c r="B2915" s="5" t="s">
        <v>6800</v>
      </c>
      <c r="C2915" s="5" t="s">
        <v>28</v>
      </c>
      <c r="D2915" s="5" t="s">
        <v>29</v>
      </c>
      <c r="E2915" s="5" t="s">
        <v>186</v>
      </c>
      <c r="F2915" s="9">
        <v>72</v>
      </c>
      <c r="G2915" s="9">
        <v>829</v>
      </c>
      <c r="H2915" s="5" t="s">
        <v>20</v>
      </c>
      <c r="I2915" s="5" t="s">
        <v>6801</v>
      </c>
      <c r="J2915" s="12" t="str">
        <f>HYPERLINK("https://www.boe.es/gazeta/dias/1807/08/11/pdfs/GMD-1807-72.pdf#page=9","Abrir facsímil")</f>
        <v>Abrir facsímil</v>
      </c>
      <c r="K2915" s="15" t="s">
        <v>22</v>
      </c>
    </row>
    <row r="2916" spans="1:11" ht="42" customHeight="1">
      <c r="A2916" s="4" t="s">
        <v>6802</v>
      </c>
      <c r="B2916" s="5" t="s">
        <v>6802</v>
      </c>
      <c r="C2916" s="5" t="s">
        <v>34</v>
      </c>
      <c r="D2916" s="5" t="s">
        <v>35</v>
      </c>
      <c r="E2916" s="5" t="s">
        <v>471</v>
      </c>
      <c r="F2916" s="9">
        <v>51</v>
      </c>
      <c r="G2916" s="9">
        <v>606</v>
      </c>
      <c r="H2916" s="5" t="s">
        <v>20</v>
      </c>
      <c r="I2916" s="5" t="s">
        <v>6803</v>
      </c>
      <c r="J2916" s="12" t="str">
        <f>HYPERLINK("https://www.boe.es/gazeta/dias/1807/06/16/pdfs/GMD-1807-51.pdf#page=8","Abrir facsímil")</f>
        <v>Abrir facsímil</v>
      </c>
      <c r="K2916" s="15" t="s">
        <v>22</v>
      </c>
    </row>
    <row r="2917" spans="1:11" ht="42" customHeight="1">
      <c r="A2917" s="4" t="s">
        <v>6804</v>
      </c>
      <c r="B2917" s="5" t="s">
        <v>6804</v>
      </c>
      <c r="C2917" s="5" t="s">
        <v>28</v>
      </c>
      <c r="D2917" s="5" t="s">
        <v>29</v>
      </c>
      <c r="E2917" s="5" t="s">
        <v>478</v>
      </c>
      <c r="F2917" s="9">
        <v>30</v>
      </c>
      <c r="G2917" s="9">
        <v>360</v>
      </c>
      <c r="H2917" s="5" t="s">
        <v>20</v>
      </c>
      <c r="I2917" s="5" t="s">
        <v>6805</v>
      </c>
      <c r="J2917" s="12" t="str">
        <f>HYPERLINK("https://www.boe.es/gazeta/dias/1807/04/03/pdfs/GMD-1807-30.pdf#page=12","Abrir facsímil")</f>
        <v>Abrir facsímil</v>
      </c>
      <c r="K2917" s="15" t="s">
        <v>22</v>
      </c>
    </row>
    <row r="2918" spans="1:11" ht="42" customHeight="1">
      <c r="A2918" s="4" t="s">
        <v>6806</v>
      </c>
      <c r="B2918" s="5" t="s">
        <v>6806</v>
      </c>
      <c r="C2918" s="5" t="s">
        <v>17</v>
      </c>
      <c r="D2918" s="5" t="s">
        <v>18</v>
      </c>
      <c r="E2918" s="5" t="s">
        <v>507</v>
      </c>
      <c r="F2918" s="9">
        <v>48</v>
      </c>
      <c r="G2918" s="9">
        <v>570</v>
      </c>
      <c r="H2918" s="5" t="s">
        <v>20</v>
      </c>
      <c r="I2918" s="5" t="s">
        <v>6807</v>
      </c>
      <c r="J2918" s="12" t="str">
        <f>HYPERLINK("https://www.boe.es/gazeta/dias/1807/06/05/pdfs/GMD-1807-48.pdf#page=8","Abrir facsímil")</f>
        <v>Abrir facsímil</v>
      </c>
      <c r="K2918" s="15" t="s">
        <v>22</v>
      </c>
    </row>
    <row r="2919" spans="1:11" ht="42" customHeight="1">
      <c r="A2919" s="4" t="s">
        <v>6808</v>
      </c>
      <c r="B2919" s="5" t="s">
        <v>6808</v>
      </c>
      <c r="C2919" s="5" t="s">
        <v>34</v>
      </c>
      <c r="D2919" s="5" t="s">
        <v>35</v>
      </c>
      <c r="E2919" s="5" t="s">
        <v>620</v>
      </c>
      <c r="F2919" s="9">
        <v>84</v>
      </c>
      <c r="G2919" s="9">
        <v>981</v>
      </c>
      <c r="H2919" s="5" t="s">
        <v>20</v>
      </c>
      <c r="I2919" s="5" t="s">
        <v>6809</v>
      </c>
      <c r="J2919" s="12" t="str">
        <f>HYPERLINK("https://www.boe.es/gazeta/dias/1807/09/22/pdfs/GMD-1807-84.pdf#page=9","Abrir facsímil")</f>
        <v>Abrir facsímil</v>
      </c>
      <c r="K2919" s="15" t="s">
        <v>22</v>
      </c>
    </row>
    <row r="2920" spans="1:11" ht="42" customHeight="1">
      <c r="A2920" s="4" t="s">
        <v>6810</v>
      </c>
      <c r="B2920" s="5" t="s">
        <v>6810</v>
      </c>
      <c r="C2920" s="5" t="s">
        <v>17</v>
      </c>
      <c r="D2920" s="5" t="s">
        <v>18</v>
      </c>
      <c r="E2920" s="5" t="s">
        <v>81</v>
      </c>
      <c r="F2920" s="9">
        <v>49</v>
      </c>
      <c r="G2920" s="9">
        <v>585</v>
      </c>
      <c r="H2920" s="5" t="s">
        <v>20</v>
      </c>
      <c r="I2920" s="5" t="s">
        <v>6811</v>
      </c>
      <c r="J2920" s="12" t="str">
        <f>HYPERLINK("https://www.boe.es/gazeta/dias/1807/06/09/pdfs/GMD-1807-49.pdf#page=11","Abrir facsímil")</f>
        <v>Abrir facsímil</v>
      </c>
      <c r="K2920" s="15" t="s">
        <v>22</v>
      </c>
    </row>
    <row r="2921" spans="1:11" ht="42" customHeight="1">
      <c r="A2921" s="4" t="s">
        <v>6812</v>
      </c>
      <c r="B2921" s="5" t="s">
        <v>6812</v>
      </c>
      <c r="C2921" s="5" t="s">
        <v>28</v>
      </c>
      <c r="D2921" s="5" t="s">
        <v>29</v>
      </c>
      <c r="E2921" s="5" t="s">
        <v>30</v>
      </c>
      <c r="F2921" s="9">
        <v>13</v>
      </c>
      <c r="G2921" s="9">
        <v>149</v>
      </c>
      <c r="H2921" s="5" t="s">
        <v>20</v>
      </c>
      <c r="I2921" s="5" t="s">
        <v>6813</v>
      </c>
      <c r="J2921" s="12" t="str">
        <f>HYPERLINK("https://www.boe.es/gazeta/dias/1807/02/06/pdfs/GMD-1807-13.pdf#page=9","Abrir facsímil")</f>
        <v>Abrir facsímil</v>
      </c>
      <c r="K2921" s="15" t="s">
        <v>22</v>
      </c>
    </row>
    <row r="2922" spans="1:11" ht="42" customHeight="1">
      <c r="A2922" s="4" t="s">
        <v>6814</v>
      </c>
      <c r="B2922" s="5" t="s">
        <v>6814</v>
      </c>
      <c r="C2922" s="5" t="s">
        <v>28</v>
      </c>
      <c r="D2922" s="5" t="s">
        <v>29</v>
      </c>
      <c r="E2922" s="5" t="s">
        <v>426</v>
      </c>
      <c r="F2922" s="9">
        <v>93</v>
      </c>
      <c r="G2922" s="9">
        <v>1083</v>
      </c>
      <c r="H2922" s="5" t="s">
        <v>20</v>
      </c>
      <c r="I2922" s="5" t="s">
        <v>6815</v>
      </c>
      <c r="J2922" s="12" t="str">
        <f>HYPERLINK("https://www.boe.es/gazeta/dias/1807/10/16/pdfs/GMD-1807-93.pdf#page=11","Abrir facsímil")</f>
        <v>Abrir facsímil</v>
      </c>
      <c r="K2922" s="15" t="s">
        <v>22</v>
      </c>
    </row>
    <row r="2923" spans="1:11" ht="42" customHeight="1">
      <c r="A2923" s="4" t="s">
        <v>6816</v>
      </c>
      <c r="B2923" s="5" t="s">
        <v>6816</v>
      </c>
      <c r="C2923" s="5" t="s">
        <v>28</v>
      </c>
      <c r="D2923" s="5" t="s">
        <v>29</v>
      </c>
      <c r="E2923" s="5" t="s">
        <v>361</v>
      </c>
      <c r="F2923" s="9">
        <v>113</v>
      </c>
      <c r="G2923" s="9">
        <v>1322</v>
      </c>
      <c r="H2923" s="5" t="s">
        <v>20</v>
      </c>
      <c r="I2923" s="5" t="s">
        <v>6817</v>
      </c>
      <c r="J2923" s="12" t="str">
        <f>HYPERLINK("https://www.boe.es/gazeta/dias/1807/12/22/pdfs/GMD-1807-113.pdf#page=10","Abrir facsímil")</f>
        <v>Abrir facsímil</v>
      </c>
      <c r="K2923" s="15" t="s">
        <v>22</v>
      </c>
    </row>
    <row r="2924" spans="1:11" ht="42" customHeight="1">
      <c r="A2924" s="4" t="s">
        <v>6818</v>
      </c>
      <c r="B2924" s="5" t="s">
        <v>6818</v>
      </c>
      <c r="C2924" s="5" t="s">
        <v>34</v>
      </c>
      <c r="D2924" s="5" t="s">
        <v>35</v>
      </c>
      <c r="E2924" s="5" t="s">
        <v>114</v>
      </c>
      <c r="F2924" s="9">
        <v>46</v>
      </c>
      <c r="G2924" s="9">
        <v>548</v>
      </c>
      <c r="H2924" s="5" t="s">
        <v>20</v>
      </c>
      <c r="I2924" s="5" t="s">
        <v>6819</v>
      </c>
      <c r="J2924" s="12" t="str">
        <f>HYPERLINK("https://www.boe.es/gazeta/dias/1807/05/29/pdfs/GMD-1807-46.pdf#page=6","Abrir facsímil")</f>
        <v>Abrir facsímil</v>
      </c>
      <c r="K2924" s="15" t="s">
        <v>22</v>
      </c>
    </row>
    <row r="2925" spans="1:11" ht="42" customHeight="1">
      <c r="A2925" s="4" t="s">
        <v>6820</v>
      </c>
      <c r="B2925" s="5" t="s">
        <v>6820</v>
      </c>
      <c r="C2925" s="5" t="s">
        <v>34</v>
      </c>
      <c r="D2925" s="5" t="s">
        <v>35</v>
      </c>
      <c r="E2925" s="5" t="s">
        <v>114</v>
      </c>
      <c r="F2925" s="9">
        <v>46</v>
      </c>
      <c r="G2925" s="9">
        <v>549</v>
      </c>
      <c r="H2925" s="5" t="s">
        <v>20</v>
      </c>
      <c r="I2925" s="5" t="s">
        <v>6821</v>
      </c>
      <c r="J2925" s="12" t="str">
        <f>HYPERLINK("https://www.boe.es/gazeta/dias/1807/05/29/pdfs/GMD-1807-46.pdf#page=7","Abrir facsímil")</f>
        <v>Abrir facsímil</v>
      </c>
      <c r="K2925" s="15" t="s">
        <v>22</v>
      </c>
    </row>
    <row r="2926" spans="1:11" ht="42" customHeight="1">
      <c r="A2926" s="4" t="s">
        <v>6822</v>
      </c>
      <c r="B2926" s="5" t="s">
        <v>6822</v>
      </c>
      <c r="C2926" s="5" t="s">
        <v>69</v>
      </c>
      <c r="D2926" s="5" t="s">
        <v>70</v>
      </c>
      <c r="E2926" s="5" t="s">
        <v>71</v>
      </c>
      <c r="F2926" s="9">
        <v>35</v>
      </c>
      <c r="G2926" s="9" t="s">
        <v>197</v>
      </c>
      <c r="H2926" s="5" t="s">
        <v>20</v>
      </c>
      <c r="I2926" s="5" t="s">
        <v>6823</v>
      </c>
      <c r="J2926" s="12" t="str">
        <f>HYPERLINK("https://www.boe.es/gazeta/dias/1807/04/21/pdfs/C00001-00004.pdf#page=3","Abrir facsímil")</f>
        <v>Abrir facsímil</v>
      </c>
      <c r="K2926" s="15" t="s">
        <v>22</v>
      </c>
    </row>
    <row r="2927" spans="1:11" ht="42" customHeight="1">
      <c r="A2927" s="4" t="s">
        <v>6824</v>
      </c>
      <c r="B2927" s="5" t="s">
        <v>6824</v>
      </c>
      <c r="C2927" s="5" t="s">
        <v>28</v>
      </c>
      <c r="D2927" s="5" t="s">
        <v>29</v>
      </c>
      <c r="E2927" s="5" t="s">
        <v>346</v>
      </c>
      <c r="F2927" s="9">
        <v>21</v>
      </c>
      <c r="G2927" s="9">
        <v>246</v>
      </c>
      <c r="H2927" s="5" t="s">
        <v>20</v>
      </c>
      <c r="I2927" s="5" t="s">
        <v>6825</v>
      </c>
      <c r="J2927" s="12" t="str">
        <f>HYPERLINK("https://www.boe.es/gazeta/dias/1807/03/03/pdfs/GMD-1807-21.pdf#page=10","Abrir facsímil")</f>
        <v>Abrir facsímil</v>
      </c>
      <c r="K2927" s="15" t="s">
        <v>22</v>
      </c>
    </row>
    <row r="2928" spans="1:11" ht="42" customHeight="1">
      <c r="A2928" s="4" t="s">
        <v>6826</v>
      </c>
      <c r="B2928" s="5" t="s">
        <v>6826</v>
      </c>
      <c r="C2928" s="5" t="s">
        <v>34</v>
      </c>
      <c r="D2928" s="5" t="s">
        <v>35</v>
      </c>
      <c r="E2928" s="5" t="s">
        <v>282</v>
      </c>
      <c r="F2928" s="9">
        <v>16</v>
      </c>
      <c r="G2928" s="9">
        <v>185</v>
      </c>
      <c r="H2928" s="5" t="s">
        <v>20</v>
      </c>
      <c r="I2928" s="5" t="s">
        <v>6827</v>
      </c>
      <c r="J2928" s="12" t="str">
        <f>HYPERLINK("https://www.boe.es/gazeta/dias/1807/02/17/pdfs/GMD-1807-16.pdf#page=9","Abrir facsímil")</f>
        <v>Abrir facsímil</v>
      </c>
      <c r="K2928" s="15" t="s">
        <v>22</v>
      </c>
    </row>
    <row r="2929" spans="1:11" ht="42" customHeight="1">
      <c r="A2929" s="4" t="s">
        <v>6828</v>
      </c>
      <c r="B2929" s="5" t="s">
        <v>6829</v>
      </c>
      <c r="C2929" s="5" t="s">
        <v>34</v>
      </c>
      <c r="D2929" s="5" t="s">
        <v>35</v>
      </c>
      <c r="E2929" s="5" t="s">
        <v>123</v>
      </c>
      <c r="F2929" s="9">
        <v>70</v>
      </c>
      <c r="G2929" s="9">
        <v>805</v>
      </c>
      <c r="H2929" s="5" t="s">
        <v>20</v>
      </c>
      <c r="I2929" s="5" t="s">
        <v>6830</v>
      </c>
      <c r="J2929" s="12" t="str">
        <f>HYPERLINK("https://www.boe.es/gazeta/dias/1807/08/04/pdfs/GMD-1807-70.pdf#page=9","Abrir facsímil")</f>
        <v>Abrir facsímil</v>
      </c>
      <c r="K2929" s="15" t="s">
        <v>22</v>
      </c>
    </row>
    <row r="2930" spans="1:11" ht="42" customHeight="1">
      <c r="A2930" s="4" t="s">
        <v>6831</v>
      </c>
      <c r="B2930" s="5" t="s">
        <v>6831</v>
      </c>
      <c r="C2930" s="5" t="s">
        <v>89</v>
      </c>
      <c r="D2930" s="5" t="s">
        <v>90</v>
      </c>
      <c r="E2930" s="5" t="s">
        <v>390</v>
      </c>
      <c r="F2930" s="9">
        <v>24</v>
      </c>
      <c r="G2930" s="9">
        <v>292</v>
      </c>
      <c r="H2930" s="5" t="s">
        <v>20</v>
      </c>
      <c r="I2930" s="5" t="s">
        <v>6832</v>
      </c>
      <c r="J2930" s="12" t="str">
        <f>HYPERLINK("https://www.boe.es/gazeta/dias/1807/03/13/pdfs/GMD-1807-24.pdf#page=16","Abrir facsímil")</f>
        <v>Abrir facsímil</v>
      </c>
      <c r="K2930" s="15" t="s">
        <v>22</v>
      </c>
    </row>
    <row r="2931" spans="1:11" ht="42" customHeight="1">
      <c r="A2931" s="4" t="s">
        <v>6833</v>
      </c>
      <c r="B2931" s="5" t="s">
        <v>6833</v>
      </c>
      <c r="C2931" s="5" t="s">
        <v>24</v>
      </c>
      <c r="D2931" s="5" t="s">
        <v>18</v>
      </c>
      <c r="E2931" s="5" t="s">
        <v>686</v>
      </c>
      <c r="F2931" s="9">
        <v>106</v>
      </c>
      <c r="G2931" s="9">
        <v>1236</v>
      </c>
      <c r="H2931" s="5" t="s">
        <v>20</v>
      </c>
      <c r="I2931" s="5" t="s">
        <v>6834</v>
      </c>
      <c r="J2931" s="12" t="str">
        <f>HYPERLINK("https://www.boe.es/gazeta/dias/1807/11/27/pdfs/GMD-1807-106.pdf#page=8","Abrir facsímil")</f>
        <v>Abrir facsímil</v>
      </c>
      <c r="K2931" s="15" t="s">
        <v>22</v>
      </c>
    </row>
    <row r="2932" spans="1:11" ht="42" customHeight="1">
      <c r="A2932" s="4" t="s">
        <v>6835</v>
      </c>
      <c r="B2932" s="5" t="s">
        <v>6835</v>
      </c>
      <c r="C2932" s="5" t="s">
        <v>34</v>
      </c>
      <c r="D2932" s="5" t="s">
        <v>35</v>
      </c>
      <c r="E2932" s="5" t="s">
        <v>111</v>
      </c>
      <c r="F2932" s="9">
        <v>90</v>
      </c>
      <c r="G2932" s="9">
        <v>1044</v>
      </c>
      <c r="H2932" s="5" t="s">
        <v>20</v>
      </c>
      <c r="I2932" s="5" t="s">
        <v>6836</v>
      </c>
      <c r="J2932" s="12" t="str">
        <f>HYPERLINK("https://www.boe.es/gazeta/dias/1807/10/06/pdfs/GMD-1807-90.pdf#page=12","Abrir facsímil")</f>
        <v>Abrir facsímil</v>
      </c>
      <c r="K2932" s="15" t="s">
        <v>22</v>
      </c>
    </row>
    <row r="2933" spans="1:11" ht="42" customHeight="1">
      <c r="A2933" s="4" t="s">
        <v>6837</v>
      </c>
      <c r="B2933" s="5" t="s">
        <v>6837</v>
      </c>
      <c r="C2933" s="5" t="s">
        <v>34</v>
      </c>
      <c r="D2933" s="5" t="s">
        <v>35</v>
      </c>
      <c r="E2933" s="5" t="s">
        <v>76</v>
      </c>
      <c r="F2933" s="9">
        <v>7</v>
      </c>
      <c r="G2933" s="9">
        <v>74</v>
      </c>
      <c r="H2933" s="5" t="s">
        <v>20</v>
      </c>
      <c r="I2933" s="5" t="s">
        <v>6838</v>
      </c>
      <c r="J2933" s="12" t="str">
        <f>HYPERLINK("https://www.boe.es/gazeta/dias/1807/01/20/pdfs/GMD-1807-7.pdf#page=6","Abrir facsímil")</f>
        <v>Abrir facsímil</v>
      </c>
      <c r="K2933" s="15" t="s">
        <v>22</v>
      </c>
    </row>
    <row r="2934" spans="1:11" ht="42" customHeight="1">
      <c r="A2934" s="4" t="s">
        <v>6839</v>
      </c>
      <c r="B2934" s="5" t="s">
        <v>6839</v>
      </c>
      <c r="C2934" s="5" t="s">
        <v>28</v>
      </c>
      <c r="D2934" s="5" t="s">
        <v>29</v>
      </c>
      <c r="E2934" s="5" t="s">
        <v>245</v>
      </c>
      <c r="F2934" s="9">
        <v>97</v>
      </c>
      <c r="G2934" s="9">
        <v>1126</v>
      </c>
      <c r="H2934" s="5" t="s">
        <v>20</v>
      </c>
      <c r="I2934" s="5" t="s">
        <v>6840</v>
      </c>
      <c r="J2934" s="12" t="str">
        <f>HYPERLINK("https://www.boe.es/gazeta/dias/1807/10/30/pdfs/GMD-1807-97.pdf#page=6","Abrir facsímil")</f>
        <v>Abrir facsímil</v>
      </c>
      <c r="K2934" s="15" t="s">
        <v>22</v>
      </c>
    </row>
    <row r="2935" spans="1:11" ht="42" customHeight="1">
      <c r="A2935" s="4" t="s">
        <v>6841</v>
      </c>
      <c r="B2935" s="5" t="s">
        <v>6841</v>
      </c>
      <c r="C2935" s="5" t="s">
        <v>34</v>
      </c>
      <c r="D2935" s="5" t="s">
        <v>35</v>
      </c>
      <c r="E2935" s="5" t="s">
        <v>319</v>
      </c>
      <c r="F2935" s="9">
        <v>54</v>
      </c>
      <c r="G2935" s="9">
        <v>645</v>
      </c>
      <c r="H2935" s="5" t="s">
        <v>20</v>
      </c>
      <c r="I2935" s="5" t="s">
        <v>6842</v>
      </c>
      <c r="J2935" s="12" t="str">
        <f>HYPERLINK("https://www.boe.es/gazeta/dias/1807/06/26/pdfs/GMD-1807-54.pdf#page=7","Abrir facsímil")</f>
        <v>Abrir facsímil</v>
      </c>
      <c r="K2935" s="15" t="s">
        <v>22</v>
      </c>
    </row>
    <row r="2936" spans="1:11" ht="42" customHeight="1">
      <c r="A2936" s="4" t="s">
        <v>6843</v>
      </c>
      <c r="B2936" s="5" t="s">
        <v>6843</v>
      </c>
      <c r="C2936" s="5" t="s">
        <v>34</v>
      </c>
      <c r="D2936" s="5" t="s">
        <v>35</v>
      </c>
      <c r="E2936" s="5" t="s">
        <v>393</v>
      </c>
      <c r="F2936" s="9">
        <v>15</v>
      </c>
      <c r="G2936" s="9">
        <v>172</v>
      </c>
      <c r="H2936" s="5" t="s">
        <v>20</v>
      </c>
      <c r="I2936" s="5" t="s">
        <v>6844</v>
      </c>
      <c r="J2936" s="12" t="str">
        <f>HYPERLINK("https://www.boe.es/gazeta/dias/1807/02/13/pdfs/GMD-1807-15.pdf#page=8","Abrir facsímil")</f>
        <v>Abrir facsímil</v>
      </c>
      <c r="K2936" s="15" t="s">
        <v>22</v>
      </c>
    </row>
    <row r="2937" spans="1:11" ht="42" customHeight="1">
      <c r="A2937" s="4" t="s">
        <v>6845</v>
      </c>
      <c r="B2937" s="5" t="s">
        <v>6845</v>
      </c>
      <c r="C2937" s="5" t="s">
        <v>28</v>
      </c>
      <c r="D2937" s="5" t="s">
        <v>29</v>
      </c>
      <c r="E2937" s="5" t="s">
        <v>346</v>
      </c>
      <c r="F2937" s="9">
        <v>21</v>
      </c>
      <c r="G2937" s="9">
        <v>245</v>
      </c>
      <c r="H2937" s="5" t="s">
        <v>20</v>
      </c>
      <c r="I2937" s="5" t="s">
        <v>6846</v>
      </c>
      <c r="J2937" s="12" t="str">
        <f>HYPERLINK("https://www.boe.es/gazeta/dias/1807/03/03/pdfs/GMD-1807-21.pdf#page=9","Abrir facsímil")</f>
        <v>Abrir facsímil</v>
      </c>
      <c r="K2937" s="15" t="s">
        <v>22</v>
      </c>
    </row>
    <row r="2938" spans="1:11" ht="42" customHeight="1">
      <c r="A2938" s="4" t="s">
        <v>6847</v>
      </c>
      <c r="B2938" s="5" t="s">
        <v>6847</v>
      </c>
      <c r="C2938" s="5" t="s">
        <v>28</v>
      </c>
      <c r="D2938" s="5" t="s">
        <v>29</v>
      </c>
      <c r="E2938" s="5" t="s">
        <v>40</v>
      </c>
      <c r="F2938" s="9">
        <v>26</v>
      </c>
      <c r="G2938" s="9">
        <v>312</v>
      </c>
      <c r="H2938" s="5" t="s">
        <v>20</v>
      </c>
      <c r="I2938" s="5" t="s">
        <v>6848</v>
      </c>
      <c r="J2938" s="12" t="str">
        <f>HYPERLINK("https://www.boe.es/gazeta/dias/1807/03/20/pdfs/GMD-1807-26.pdf#page=8","Abrir facsímil")</f>
        <v>Abrir facsímil</v>
      </c>
      <c r="K2938" s="15" t="s">
        <v>22</v>
      </c>
    </row>
    <row r="2939" spans="1:11" ht="42" customHeight="1">
      <c r="A2939" s="4" t="s">
        <v>6849</v>
      </c>
      <c r="B2939" s="5" t="s">
        <v>6849</v>
      </c>
      <c r="C2939" s="5" t="s">
        <v>28</v>
      </c>
      <c r="D2939" s="5" t="s">
        <v>29</v>
      </c>
      <c r="E2939" s="5" t="s">
        <v>156</v>
      </c>
      <c r="F2939" s="9">
        <v>74</v>
      </c>
      <c r="G2939" s="9">
        <v>854</v>
      </c>
      <c r="H2939" s="5" t="s">
        <v>20</v>
      </c>
      <c r="I2939" s="5" t="s">
        <v>6850</v>
      </c>
      <c r="J2939" s="12" t="str">
        <f>HYPERLINK("https://www.boe.es/gazeta/dias/1807/08/18/pdfs/GMD-1807-74.pdf#page=6","Abrir facsímil")</f>
        <v>Abrir facsímil</v>
      </c>
      <c r="K2939" s="15" t="s">
        <v>22</v>
      </c>
    </row>
    <row r="2940" spans="1:11" ht="42" customHeight="1">
      <c r="A2940" s="4" t="s">
        <v>6851</v>
      </c>
      <c r="B2940" s="5" t="s">
        <v>6851</v>
      </c>
      <c r="C2940" s="5" t="s">
        <v>34</v>
      </c>
      <c r="D2940" s="5" t="s">
        <v>35</v>
      </c>
      <c r="E2940" s="5" t="s">
        <v>319</v>
      </c>
      <c r="F2940" s="9">
        <v>54</v>
      </c>
      <c r="G2940" s="9">
        <v>645</v>
      </c>
      <c r="H2940" s="5" t="s">
        <v>20</v>
      </c>
      <c r="I2940" s="5" t="s">
        <v>6852</v>
      </c>
      <c r="J2940" s="12" t="str">
        <f>HYPERLINK("https://www.boe.es/gazeta/dias/1807/06/26/pdfs/GMD-1807-54.pdf#page=7","Abrir facsímil")</f>
        <v>Abrir facsímil</v>
      </c>
      <c r="K2940" s="15" t="s">
        <v>22</v>
      </c>
    </row>
    <row r="2941" spans="1:11" ht="42" customHeight="1">
      <c r="A2941" s="4" t="s">
        <v>6853</v>
      </c>
      <c r="B2941" s="5" t="s">
        <v>6853</v>
      </c>
      <c r="C2941" s="5" t="s">
        <v>34</v>
      </c>
      <c r="D2941" s="5" t="s">
        <v>35</v>
      </c>
      <c r="E2941" s="5" t="s">
        <v>127</v>
      </c>
      <c r="F2941" s="9">
        <v>81</v>
      </c>
      <c r="G2941" s="9">
        <v>946</v>
      </c>
      <c r="H2941" s="5" t="s">
        <v>20</v>
      </c>
      <c r="I2941" s="5" t="s">
        <v>6854</v>
      </c>
      <c r="J2941" s="12" t="str">
        <f>HYPERLINK("https://www.boe.es/gazeta/dias/1807/09/11/pdfs/GMD-1807-81.pdf#page=10","Abrir facsímil")</f>
        <v>Abrir facsímil</v>
      </c>
      <c r="K2941" s="15" t="s">
        <v>22</v>
      </c>
    </row>
    <row r="2942" spans="1:11" ht="42" customHeight="1">
      <c r="A2942" s="4" t="s">
        <v>6855</v>
      </c>
      <c r="B2942" s="5" t="s">
        <v>6855</v>
      </c>
      <c r="C2942" s="5" t="s">
        <v>34</v>
      </c>
      <c r="D2942" s="5" t="s">
        <v>35</v>
      </c>
      <c r="E2942" s="5" t="s">
        <v>221</v>
      </c>
      <c r="F2942" s="9">
        <v>73</v>
      </c>
      <c r="G2942" s="9">
        <v>845</v>
      </c>
      <c r="H2942" s="5" t="s">
        <v>20</v>
      </c>
      <c r="I2942" s="5" t="s">
        <v>6856</v>
      </c>
      <c r="J2942" s="12" t="str">
        <f>HYPERLINK("https://www.boe.es/gazeta/dias/1807/08/14/pdfs/GMD-1807-73.pdf#page=9","Abrir facsímil")</f>
        <v>Abrir facsímil</v>
      </c>
      <c r="K2942" s="15" t="s">
        <v>22</v>
      </c>
    </row>
    <row r="2943" spans="1:11" ht="42" customHeight="1">
      <c r="A2943" s="4" t="s">
        <v>6857</v>
      </c>
      <c r="B2943" s="5" t="s">
        <v>6858</v>
      </c>
      <c r="C2943" s="5" t="s">
        <v>34</v>
      </c>
      <c r="D2943" s="5" t="s">
        <v>35</v>
      </c>
      <c r="E2943" s="5" t="s">
        <v>1354</v>
      </c>
      <c r="F2943" s="9">
        <v>83</v>
      </c>
      <c r="G2943" s="9">
        <v>969</v>
      </c>
      <c r="H2943" s="5" t="s">
        <v>20</v>
      </c>
      <c r="I2943" s="5" t="s">
        <v>6859</v>
      </c>
      <c r="J2943" s="12" t="str">
        <f>HYPERLINK("https://www.boe.es/gazeta/dias/1807/09/18/pdfs/GMD-1807-83.pdf#page=9","Abrir facsímil")</f>
        <v>Abrir facsímil</v>
      </c>
      <c r="K2943" s="15" t="s">
        <v>22</v>
      </c>
    </row>
    <row r="2944" spans="1:11" ht="42" customHeight="1">
      <c r="A2944" s="4" t="s">
        <v>6860</v>
      </c>
      <c r="B2944" s="5" t="s">
        <v>6860</v>
      </c>
      <c r="C2944" s="5" t="s">
        <v>89</v>
      </c>
      <c r="D2944" s="5" t="s">
        <v>90</v>
      </c>
      <c r="E2944" s="5" t="s">
        <v>350</v>
      </c>
      <c r="F2944" s="9">
        <v>112</v>
      </c>
      <c r="G2944" s="9">
        <v>1312</v>
      </c>
      <c r="H2944" s="5" t="s">
        <v>20</v>
      </c>
      <c r="I2944" s="5" t="s">
        <v>6861</v>
      </c>
      <c r="J2944" s="12" t="str">
        <f>HYPERLINK("https://www.boe.es/gazeta/dias/1807/12/18/pdfs/GMD-1807-112.pdf#page=12","Abrir facsímil")</f>
        <v>Abrir facsímil</v>
      </c>
      <c r="K2944" s="15" t="s">
        <v>22</v>
      </c>
    </row>
    <row r="2945" spans="1:11" ht="42" customHeight="1">
      <c r="A2945" s="4" t="s">
        <v>6862</v>
      </c>
      <c r="B2945" s="5" t="s">
        <v>6863</v>
      </c>
      <c r="C2945" s="5" t="s">
        <v>28</v>
      </c>
      <c r="D2945" s="5" t="s">
        <v>29</v>
      </c>
      <c r="E2945" s="5" t="s">
        <v>327</v>
      </c>
      <c r="F2945" s="9">
        <v>108</v>
      </c>
      <c r="G2945" s="9">
        <v>1263</v>
      </c>
      <c r="H2945" s="5" t="s">
        <v>20</v>
      </c>
      <c r="I2945" s="5" t="s">
        <v>6864</v>
      </c>
      <c r="J2945" s="12" t="str">
        <f>HYPERLINK("https://www.boe.es/gazeta/dias/1807/12/04/pdfs/GMD-1807-108.pdf#page=11","Abrir facsímil")</f>
        <v>Abrir facsímil</v>
      </c>
      <c r="K2945" s="15" t="s">
        <v>22</v>
      </c>
    </row>
    <row r="2946" spans="1:11" ht="42" customHeight="1">
      <c r="A2946" s="4" t="s">
        <v>6865</v>
      </c>
      <c r="B2946" s="5" t="s">
        <v>6865</v>
      </c>
      <c r="C2946" s="5" t="s">
        <v>34</v>
      </c>
      <c r="D2946" s="5" t="s">
        <v>35</v>
      </c>
      <c r="E2946" s="5" t="s">
        <v>620</v>
      </c>
      <c r="F2946" s="9">
        <v>84</v>
      </c>
      <c r="G2946" s="9">
        <v>981</v>
      </c>
      <c r="H2946" s="5" t="s">
        <v>20</v>
      </c>
      <c r="I2946" s="5" t="s">
        <v>6866</v>
      </c>
      <c r="J2946" s="12" t="str">
        <f>HYPERLINK("https://www.boe.es/gazeta/dias/1807/09/22/pdfs/GMD-1807-84.pdf#page=9","Abrir facsímil")</f>
        <v>Abrir facsímil</v>
      </c>
      <c r="K2946" s="15" t="s">
        <v>22</v>
      </c>
    </row>
    <row r="2947" spans="1:11" ht="42" customHeight="1">
      <c r="A2947" s="4" t="s">
        <v>6867</v>
      </c>
      <c r="B2947" s="5" t="s">
        <v>6867</v>
      </c>
      <c r="C2947" s="5" t="s">
        <v>34</v>
      </c>
      <c r="D2947" s="5" t="s">
        <v>35</v>
      </c>
      <c r="E2947" s="5" t="s">
        <v>19</v>
      </c>
      <c r="F2947" s="9">
        <v>41</v>
      </c>
      <c r="G2947" s="9">
        <v>490</v>
      </c>
      <c r="H2947" s="5" t="s">
        <v>20</v>
      </c>
      <c r="I2947" s="5" t="s">
        <v>6868</v>
      </c>
      <c r="J2947" s="12" t="str">
        <f>HYPERLINK("https://www.boe.es/gazeta/dias/1807/05/12/pdfs/GMD-1807-41.pdf#page=8","Abrir facsímil")</f>
        <v>Abrir facsímil</v>
      </c>
      <c r="K2947" s="15" t="s">
        <v>22</v>
      </c>
    </row>
    <row r="2948" spans="1:11" ht="42" customHeight="1">
      <c r="A2948" s="4" t="s">
        <v>6869</v>
      </c>
      <c r="B2948" s="5" t="s">
        <v>6869</v>
      </c>
      <c r="C2948" s="5" t="s">
        <v>34</v>
      </c>
      <c r="D2948" s="5" t="s">
        <v>35</v>
      </c>
      <c r="E2948" s="5" t="s">
        <v>83</v>
      </c>
      <c r="F2948" s="9">
        <v>50</v>
      </c>
      <c r="G2948" s="9">
        <v>595</v>
      </c>
      <c r="H2948" s="5" t="s">
        <v>20</v>
      </c>
      <c r="I2948" s="5" t="s">
        <v>6870</v>
      </c>
      <c r="J2948" s="12" t="str">
        <f>HYPERLINK("https://www.boe.es/gazeta/dias/1807/06/12/pdfs/GMD-1807-50.pdf#page=9","Abrir facsímil")</f>
        <v>Abrir facsímil</v>
      </c>
      <c r="K2948" s="15" t="s">
        <v>22</v>
      </c>
    </row>
    <row r="2949" spans="1:11" ht="42" customHeight="1">
      <c r="A2949" s="4" t="s">
        <v>6871</v>
      </c>
      <c r="B2949" s="5" t="s">
        <v>6871</v>
      </c>
      <c r="C2949" s="5" t="s">
        <v>34</v>
      </c>
      <c r="D2949" s="5" t="s">
        <v>35</v>
      </c>
      <c r="E2949" s="5" t="s">
        <v>65</v>
      </c>
      <c r="F2949" s="9">
        <v>52</v>
      </c>
      <c r="G2949" s="9">
        <v>621</v>
      </c>
      <c r="H2949" s="5" t="s">
        <v>20</v>
      </c>
      <c r="I2949" s="5" t="s">
        <v>6872</v>
      </c>
      <c r="J2949" s="12" t="str">
        <f>HYPERLINK("https://www.boe.es/gazeta/dias/1807/06/19/pdfs/GMD-1807-52.pdf#page=11","Abrir facsímil")</f>
        <v>Abrir facsímil</v>
      </c>
      <c r="K2949" s="15" t="s">
        <v>22</v>
      </c>
    </row>
    <row r="2950" spans="1:11" ht="42" customHeight="1">
      <c r="A2950" s="4" t="s">
        <v>6873</v>
      </c>
      <c r="B2950" s="5" t="s">
        <v>6873</v>
      </c>
      <c r="C2950" s="5" t="s">
        <v>34</v>
      </c>
      <c r="D2950" s="5" t="s">
        <v>35</v>
      </c>
      <c r="E2950" s="5" t="s">
        <v>581</v>
      </c>
      <c r="F2950" s="9">
        <v>71</v>
      </c>
      <c r="G2950" s="9">
        <v>815</v>
      </c>
      <c r="H2950" s="5" t="s">
        <v>20</v>
      </c>
      <c r="I2950" s="5" t="s">
        <v>6874</v>
      </c>
      <c r="J2950" s="12" t="str">
        <f>HYPERLINK("https://www.boe.es/gazeta/dias/1807/08/07/pdfs/GMD-1807-71.pdf#page=7","Abrir facsímil")</f>
        <v>Abrir facsímil</v>
      </c>
      <c r="K2950" s="15" t="s">
        <v>22</v>
      </c>
    </row>
    <row r="2951" spans="1:11" ht="42" customHeight="1">
      <c r="A2951" s="4" t="s">
        <v>6875</v>
      </c>
      <c r="B2951" s="5" t="s">
        <v>6875</v>
      </c>
      <c r="C2951" s="5" t="s">
        <v>28</v>
      </c>
      <c r="D2951" s="5" t="s">
        <v>29</v>
      </c>
      <c r="E2951" s="5" t="s">
        <v>127</v>
      </c>
      <c r="F2951" s="9">
        <v>81</v>
      </c>
      <c r="G2951" s="9">
        <v>945</v>
      </c>
      <c r="H2951" s="5" t="s">
        <v>20</v>
      </c>
      <c r="I2951" s="5" t="s">
        <v>6876</v>
      </c>
      <c r="J2951" s="12" t="str">
        <f>HYPERLINK("https://www.boe.es/gazeta/dias/1807/09/11/pdfs/GMD-1807-81.pdf#page=9","Abrir facsímil")</f>
        <v>Abrir facsímil</v>
      </c>
      <c r="K2951" s="15" t="s">
        <v>22</v>
      </c>
    </row>
    <row r="2952" spans="1:11" ht="42" customHeight="1">
      <c r="A2952" s="4" t="s">
        <v>6877</v>
      </c>
      <c r="B2952" s="5" t="s">
        <v>6877</v>
      </c>
      <c r="C2952" s="5" t="s">
        <v>28</v>
      </c>
      <c r="D2952" s="5" t="s">
        <v>29</v>
      </c>
      <c r="E2952" s="5" t="s">
        <v>42</v>
      </c>
      <c r="F2952" s="9">
        <v>31</v>
      </c>
      <c r="G2952" s="9">
        <v>367</v>
      </c>
      <c r="H2952" s="5" t="s">
        <v>20</v>
      </c>
      <c r="I2952" s="5" t="s">
        <v>6878</v>
      </c>
      <c r="J2952" s="12" t="str">
        <f>HYPERLINK("https://www.boe.es/gazeta/dias/1807/04/07/pdfs/GMD-1807-31.pdf#page=7","Abrir facsímil")</f>
        <v>Abrir facsímil</v>
      </c>
      <c r="K2952" s="15" t="s">
        <v>22</v>
      </c>
    </row>
    <row r="2953" spans="1:11" ht="42" customHeight="1">
      <c r="A2953" s="4" t="s">
        <v>6879</v>
      </c>
      <c r="B2953" s="5" t="s">
        <v>6880</v>
      </c>
      <c r="C2953" s="5" t="s">
        <v>34</v>
      </c>
      <c r="D2953" s="5" t="s">
        <v>35</v>
      </c>
      <c r="E2953" s="5" t="s">
        <v>259</v>
      </c>
      <c r="F2953" s="9">
        <v>3</v>
      </c>
      <c r="G2953" s="9">
        <v>27</v>
      </c>
      <c r="H2953" s="5" t="s">
        <v>20</v>
      </c>
      <c r="I2953" s="5" t="s">
        <v>6881</v>
      </c>
      <c r="J2953" s="12" t="str">
        <f>HYPERLINK("https://www.boe.es/gazeta/dias/1807/01/09/pdfs/GMD-1807-3.pdf#page=7","Abrir facsímil")</f>
        <v>Abrir facsímil</v>
      </c>
      <c r="K2953" s="15" t="s">
        <v>22</v>
      </c>
    </row>
    <row r="2954" spans="1:11" ht="42" customHeight="1">
      <c r="A2954" s="4" t="s">
        <v>6882</v>
      </c>
      <c r="B2954" s="5" t="s">
        <v>6883</v>
      </c>
      <c r="C2954" s="5" t="s">
        <v>28</v>
      </c>
      <c r="D2954" s="5" t="s">
        <v>29</v>
      </c>
      <c r="E2954" s="5" t="s">
        <v>666</v>
      </c>
      <c r="F2954" s="9">
        <v>43</v>
      </c>
      <c r="G2954" s="9">
        <v>515</v>
      </c>
      <c r="H2954" s="5" t="s">
        <v>20</v>
      </c>
      <c r="I2954" s="5" t="s">
        <v>6884</v>
      </c>
      <c r="J2954" s="12" t="str">
        <f>HYPERLINK("https://www.boe.es/gazeta/dias/1807/05/19/pdfs/GMD-1807-43.pdf#page=9","Abrir facsímil")</f>
        <v>Abrir facsímil</v>
      </c>
      <c r="K2954" s="15" t="s">
        <v>22</v>
      </c>
    </row>
    <row r="2955" spans="1:11" ht="42" customHeight="1">
      <c r="A2955" s="4" t="s">
        <v>6885</v>
      </c>
      <c r="B2955" s="5" t="s">
        <v>6885</v>
      </c>
      <c r="C2955" s="5" t="s">
        <v>28</v>
      </c>
      <c r="D2955" s="5" t="s">
        <v>29</v>
      </c>
      <c r="E2955" s="5" t="s">
        <v>152</v>
      </c>
      <c r="F2955" s="9">
        <v>61</v>
      </c>
      <c r="G2955" s="9">
        <v>723</v>
      </c>
      <c r="H2955" s="5" t="s">
        <v>20</v>
      </c>
      <c r="I2955" s="5" t="s">
        <v>6886</v>
      </c>
      <c r="J2955" s="12" t="str">
        <f>HYPERLINK("https://www.boe.es/gazeta/dias/1807/07/14/pdfs/GMD-1807-61.pdf#page=9","Abrir facsímil")</f>
        <v>Abrir facsímil</v>
      </c>
      <c r="K2955" s="15" t="s">
        <v>22</v>
      </c>
    </row>
    <row r="2956" spans="1:11" ht="42" customHeight="1">
      <c r="A2956" s="4" t="s">
        <v>6887</v>
      </c>
      <c r="B2956" s="5" t="s">
        <v>6888</v>
      </c>
      <c r="C2956" s="5" t="s">
        <v>24</v>
      </c>
      <c r="D2956" s="5" t="s">
        <v>18</v>
      </c>
      <c r="E2956" s="5" t="s">
        <v>62</v>
      </c>
      <c r="F2956" s="9">
        <v>68</v>
      </c>
      <c r="G2956" s="9">
        <v>786</v>
      </c>
      <c r="H2956" s="5" t="s">
        <v>20</v>
      </c>
      <c r="I2956" s="5" t="s">
        <v>6889</v>
      </c>
      <c r="J2956" s="12" t="str">
        <f>HYPERLINK("https://www.boe.es/gazeta/dias/1807/07/31/pdfs/GMD-1807-68.pdf#page=10","Abrir facsímil")</f>
        <v>Abrir facsímil</v>
      </c>
      <c r="K2956" s="15" t="s">
        <v>22</v>
      </c>
    </row>
    <row r="2957" spans="1:11" ht="42" customHeight="1">
      <c r="A2957" s="4" t="s">
        <v>6887</v>
      </c>
      <c r="B2957" s="5" t="s">
        <v>6888</v>
      </c>
      <c r="C2957" s="5" t="s">
        <v>17</v>
      </c>
      <c r="D2957" s="5" t="s">
        <v>18</v>
      </c>
      <c r="E2957" s="5" t="s">
        <v>309</v>
      </c>
      <c r="F2957" s="9">
        <v>107</v>
      </c>
      <c r="G2957" s="9">
        <v>1249</v>
      </c>
      <c r="H2957" s="5" t="s">
        <v>20</v>
      </c>
      <c r="I2957" s="5" t="s">
        <v>6890</v>
      </c>
      <c r="J2957" s="12" t="str">
        <f>HYPERLINK("https://www.boe.es/gazeta/dias/1807/12/01/pdfs/GMD-1807-107.pdf#page=9","Abrir facsímil")</f>
        <v>Abrir facsímil</v>
      </c>
      <c r="K2957" s="15" t="s">
        <v>22</v>
      </c>
    </row>
    <row r="2958" spans="1:11" ht="42" customHeight="1">
      <c r="A2958" s="4" t="s">
        <v>6891</v>
      </c>
      <c r="B2958" s="5" t="s">
        <v>6891</v>
      </c>
      <c r="C2958" s="5" t="s">
        <v>24</v>
      </c>
      <c r="D2958" s="5" t="s">
        <v>18</v>
      </c>
      <c r="E2958" s="5" t="s">
        <v>156</v>
      </c>
      <c r="F2958" s="9">
        <v>74</v>
      </c>
      <c r="G2958" s="9">
        <v>859</v>
      </c>
      <c r="H2958" s="5" t="s">
        <v>20</v>
      </c>
      <c r="I2958" s="5" t="s">
        <v>6892</v>
      </c>
      <c r="J2958" s="12" t="str">
        <f>HYPERLINK("https://www.boe.es/gazeta/dias/1807/08/18/pdfs/GMD-1807-74.pdf#page=11","Abrir facsímil")</f>
        <v>Abrir facsímil</v>
      </c>
      <c r="K2958" s="15" t="s">
        <v>22</v>
      </c>
    </row>
    <row r="2959" spans="1:11" ht="42" customHeight="1">
      <c r="A2959" s="4" t="s">
        <v>6893</v>
      </c>
      <c r="B2959" s="5" t="s">
        <v>6893</v>
      </c>
      <c r="C2959" s="5" t="s">
        <v>17</v>
      </c>
      <c r="D2959" s="5" t="s">
        <v>18</v>
      </c>
      <c r="E2959" s="5" t="s">
        <v>62</v>
      </c>
      <c r="F2959" s="9">
        <v>68</v>
      </c>
      <c r="G2959" s="9">
        <v>786</v>
      </c>
      <c r="H2959" s="5" t="s">
        <v>20</v>
      </c>
      <c r="I2959" s="5" t="s">
        <v>6894</v>
      </c>
      <c r="J2959" s="12" t="str">
        <f>HYPERLINK("https://www.boe.es/gazeta/dias/1807/07/31/pdfs/GMD-1807-68.pdf#page=10","Abrir facsímil")</f>
        <v>Abrir facsímil</v>
      </c>
      <c r="K2959" s="15" t="s">
        <v>22</v>
      </c>
    </row>
    <row r="2960" spans="1:11" ht="42" customHeight="1">
      <c r="A2960" s="4" t="s">
        <v>6895</v>
      </c>
      <c r="B2960" s="5" t="s">
        <v>6895</v>
      </c>
      <c r="C2960" s="5" t="s">
        <v>28</v>
      </c>
      <c r="D2960" s="5" t="s">
        <v>29</v>
      </c>
      <c r="E2960" s="5" t="s">
        <v>686</v>
      </c>
      <c r="F2960" s="9">
        <v>106</v>
      </c>
      <c r="G2960" s="9">
        <v>1237</v>
      </c>
      <c r="H2960" s="5" t="s">
        <v>20</v>
      </c>
      <c r="I2960" s="5" t="s">
        <v>6896</v>
      </c>
      <c r="J2960" s="12" t="str">
        <f>HYPERLINK("https://www.boe.es/gazeta/dias/1807/11/27/pdfs/GMD-1807-106.pdf#page=9","Abrir facsímil")</f>
        <v>Abrir facsímil</v>
      </c>
      <c r="K2960" s="15" t="s">
        <v>22</v>
      </c>
    </row>
    <row r="2961" spans="1:11" ht="42" customHeight="1">
      <c r="A2961" s="4" t="s">
        <v>6897</v>
      </c>
      <c r="B2961" s="5" t="s">
        <v>6897</v>
      </c>
      <c r="C2961" s="5" t="s">
        <v>28</v>
      </c>
      <c r="D2961" s="5" t="s">
        <v>29</v>
      </c>
      <c r="E2961" s="5" t="s">
        <v>76</v>
      </c>
      <c r="F2961" s="9">
        <v>7</v>
      </c>
      <c r="G2961" s="9">
        <v>81</v>
      </c>
      <c r="H2961" s="5" t="s">
        <v>20</v>
      </c>
      <c r="I2961" s="5" t="s">
        <v>6898</v>
      </c>
      <c r="J2961" s="12" t="str">
        <f>HYPERLINK("https://www.boe.es/gazeta/dias/1807/01/20/pdfs/GMD-1807-7.pdf#page=13","Abrir facsímil")</f>
        <v>Abrir facsímil</v>
      </c>
      <c r="K2961" s="15" t="s">
        <v>22</v>
      </c>
    </row>
    <row r="2962" spans="1:11" ht="42" customHeight="1">
      <c r="A2962" s="4" t="s">
        <v>6899</v>
      </c>
      <c r="B2962" s="5" t="s">
        <v>6899</v>
      </c>
      <c r="C2962" s="5" t="s">
        <v>28</v>
      </c>
      <c r="D2962" s="5" t="s">
        <v>29</v>
      </c>
      <c r="E2962" s="5" t="s">
        <v>152</v>
      </c>
      <c r="F2962" s="9">
        <v>61</v>
      </c>
      <c r="G2962" s="9">
        <v>723</v>
      </c>
      <c r="H2962" s="5" t="s">
        <v>20</v>
      </c>
      <c r="I2962" s="5" t="s">
        <v>6900</v>
      </c>
      <c r="J2962" s="12" t="str">
        <f>HYPERLINK("https://www.boe.es/gazeta/dias/1807/07/14/pdfs/GMD-1807-61.pdf#page=9","Abrir facsímil")</f>
        <v>Abrir facsímil</v>
      </c>
      <c r="K2962" s="15" t="s">
        <v>22</v>
      </c>
    </row>
    <row r="2963" spans="1:11" ht="42" customHeight="1">
      <c r="A2963" s="4" t="s">
        <v>6901</v>
      </c>
      <c r="B2963" s="5" t="s">
        <v>6901</v>
      </c>
      <c r="C2963" s="5" t="s">
        <v>28</v>
      </c>
      <c r="D2963" s="5" t="s">
        <v>29</v>
      </c>
      <c r="E2963" s="5" t="s">
        <v>208</v>
      </c>
      <c r="F2963" s="9">
        <v>42</v>
      </c>
      <c r="G2963" s="9">
        <v>505</v>
      </c>
      <c r="H2963" s="5" t="s">
        <v>20</v>
      </c>
      <c r="I2963" s="5" t="s">
        <v>6902</v>
      </c>
      <c r="J2963" s="12" t="str">
        <f>HYPERLINK("https://www.boe.es/gazeta/dias/1807/05/15/pdfs/GMD-1807-42.pdf#page=11","Abrir facsímil")</f>
        <v>Abrir facsímil</v>
      </c>
      <c r="K2963" s="15" t="s">
        <v>22</v>
      </c>
    </row>
    <row r="2964" spans="1:11" ht="42" customHeight="1">
      <c r="A2964" s="4" t="s">
        <v>6903</v>
      </c>
      <c r="B2964" s="5" t="s">
        <v>6903</v>
      </c>
      <c r="C2964" s="5" t="s">
        <v>34</v>
      </c>
      <c r="D2964" s="5" t="s">
        <v>35</v>
      </c>
      <c r="E2964" s="5" t="s">
        <v>30</v>
      </c>
      <c r="F2964" s="9">
        <v>13</v>
      </c>
      <c r="G2964" s="9">
        <v>149</v>
      </c>
      <c r="H2964" s="5" t="s">
        <v>20</v>
      </c>
      <c r="I2964" s="5" t="s">
        <v>6904</v>
      </c>
      <c r="J2964" s="12" t="str">
        <f>HYPERLINK("https://www.boe.es/gazeta/dias/1807/02/06/pdfs/GMD-1807-13.pdf#page=9","Abrir facsímil")</f>
        <v>Abrir facsímil</v>
      </c>
      <c r="K2964" s="15" t="s">
        <v>22</v>
      </c>
    </row>
    <row r="2965" spans="1:11" ht="42" customHeight="1">
      <c r="A2965" s="4" t="s">
        <v>6905</v>
      </c>
      <c r="B2965" s="5" t="s">
        <v>6905</v>
      </c>
      <c r="C2965" s="5" t="s">
        <v>28</v>
      </c>
      <c r="D2965" s="5" t="s">
        <v>29</v>
      </c>
      <c r="E2965" s="5" t="s">
        <v>135</v>
      </c>
      <c r="F2965" s="9">
        <v>80</v>
      </c>
      <c r="G2965" s="9">
        <v>933</v>
      </c>
      <c r="H2965" s="5" t="s">
        <v>20</v>
      </c>
      <c r="I2965" s="5" t="s">
        <v>6906</v>
      </c>
      <c r="J2965" s="12" t="str">
        <f>HYPERLINK("https://www.boe.es/gazeta/dias/1807/09/08/pdfs/GMD-1807-80.pdf#page=9","Abrir facsímil")</f>
        <v>Abrir facsímil</v>
      </c>
      <c r="K2965" s="15" t="s">
        <v>22</v>
      </c>
    </row>
    <row r="2966" spans="1:11" ht="42" customHeight="1">
      <c r="A2966" s="4" t="s">
        <v>6907</v>
      </c>
      <c r="B2966" s="5" t="s">
        <v>6908</v>
      </c>
      <c r="C2966" s="5" t="s">
        <v>34</v>
      </c>
      <c r="D2966" s="5" t="s">
        <v>35</v>
      </c>
      <c r="E2966" s="5" t="s">
        <v>19</v>
      </c>
      <c r="F2966" s="9">
        <v>41</v>
      </c>
      <c r="G2966" s="9">
        <v>489</v>
      </c>
      <c r="H2966" s="5" t="s">
        <v>20</v>
      </c>
      <c r="I2966" s="5" t="s">
        <v>6909</v>
      </c>
      <c r="J2966" s="12" t="str">
        <f>HYPERLINK("https://www.boe.es/gazeta/dias/1807/05/12/pdfs/GMD-1807-41.pdf#page=7","Abrir facsímil")</f>
        <v>Abrir facsímil</v>
      </c>
      <c r="K2966" s="15" t="s">
        <v>22</v>
      </c>
    </row>
    <row r="2967" spans="1:11" ht="42" customHeight="1">
      <c r="A2967" s="4" t="s">
        <v>6910</v>
      </c>
      <c r="B2967" s="5" t="s">
        <v>6910</v>
      </c>
      <c r="C2967" s="5" t="s">
        <v>34</v>
      </c>
      <c r="D2967" s="5" t="s">
        <v>35</v>
      </c>
      <c r="E2967" s="5" t="s">
        <v>120</v>
      </c>
      <c r="F2967" s="9">
        <v>10</v>
      </c>
      <c r="G2967" s="9">
        <v>111</v>
      </c>
      <c r="H2967" s="5" t="s">
        <v>20</v>
      </c>
      <c r="I2967" s="5" t="s">
        <v>6911</v>
      </c>
      <c r="J2967" s="12" t="str">
        <f>HYPERLINK("https://www.boe.es/gazeta/dias/1807/01/27/pdfs/GMD-1807-10.pdf#page=7","Abrir facsímil")</f>
        <v>Abrir facsímil</v>
      </c>
      <c r="K2967" s="15" t="s">
        <v>22</v>
      </c>
    </row>
    <row r="2968" spans="1:11" ht="42" customHeight="1">
      <c r="A2968" s="4" t="s">
        <v>6912</v>
      </c>
      <c r="B2968" s="5" t="s">
        <v>6912</v>
      </c>
      <c r="C2968" s="5" t="s">
        <v>34</v>
      </c>
      <c r="D2968" s="5" t="s">
        <v>35</v>
      </c>
      <c r="E2968" s="5" t="s">
        <v>53</v>
      </c>
      <c r="F2968" s="9">
        <v>64</v>
      </c>
      <c r="G2968" s="9">
        <v>747</v>
      </c>
      <c r="H2968" s="5" t="s">
        <v>20</v>
      </c>
      <c r="I2968" s="5" t="s">
        <v>6913</v>
      </c>
      <c r="J2968" s="12" t="str">
        <f>HYPERLINK("https://www.boe.es/gazeta/dias/1807/07/21/pdfs/GMD-1807-64.pdf#page=9","Abrir facsímil")</f>
        <v>Abrir facsímil</v>
      </c>
      <c r="K2968" s="15" t="s">
        <v>22</v>
      </c>
    </row>
    <row r="2969" spans="1:11" ht="42" customHeight="1">
      <c r="A2969" s="4" t="s">
        <v>6914</v>
      </c>
      <c r="B2969" s="5" t="s">
        <v>6915</v>
      </c>
      <c r="C2969" s="5" t="s">
        <v>34</v>
      </c>
      <c r="D2969" s="5" t="s">
        <v>35</v>
      </c>
      <c r="E2969" s="5" t="s">
        <v>406</v>
      </c>
      <c r="F2969" s="9">
        <v>82</v>
      </c>
      <c r="G2969" s="9">
        <v>956</v>
      </c>
      <c r="H2969" s="5" t="s">
        <v>20</v>
      </c>
      <c r="I2969" s="5" t="s">
        <v>6916</v>
      </c>
      <c r="J2969" s="12" t="str">
        <f>HYPERLINK("https://www.boe.es/gazeta/dias/1807/09/15/pdfs/GMD-1807-82.pdf#page=8","Abrir facsímil")</f>
        <v>Abrir facsímil</v>
      </c>
      <c r="K2969" s="15" t="s">
        <v>22</v>
      </c>
    </row>
    <row r="2970" spans="1:11" ht="42" customHeight="1">
      <c r="A2970" s="4" t="s">
        <v>6917</v>
      </c>
      <c r="B2970" s="5" t="s">
        <v>6917</v>
      </c>
      <c r="C2970" s="5" t="s">
        <v>34</v>
      </c>
      <c r="D2970" s="5" t="s">
        <v>35</v>
      </c>
      <c r="E2970" s="5" t="s">
        <v>135</v>
      </c>
      <c r="F2970" s="9">
        <v>80</v>
      </c>
      <c r="G2970" s="9">
        <v>932</v>
      </c>
      <c r="H2970" s="5" t="s">
        <v>20</v>
      </c>
      <c r="I2970" s="5" t="s">
        <v>6918</v>
      </c>
      <c r="J2970" s="12" t="str">
        <f>HYPERLINK("https://www.boe.es/gazeta/dias/1807/09/08/pdfs/GMD-1807-80.pdf#page=8","Abrir facsímil")</f>
        <v>Abrir facsímil</v>
      </c>
      <c r="K2970" s="15" t="s">
        <v>22</v>
      </c>
    </row>
    <row r="2971" spans="1:11" ht="42" customHeight="1">
      <c r="A2971" s="4" t="s">
        <v>6919</v>
      </c>
      <c r="B2971" s="5" t="s">
        <v>6919</v>
      </c>
      <c r="C2971" s="5" t="s">
        <v>28</v>
      </c>
      <c r="D2971" s="5" t="s">
        <v>29</v>
      </c>
      <c r="E2971" s="5" t="s">
        <v>53</v>
      </c>
      <c r="F2971" s="9">
        <v>64</v>
      </c>
      <c r="G2971" s="9">
        <v>747</v>
      </c>
      <c r="H2971" s="5" t="s">
        <v>20</v>
      </c>
      <c r="I2971" s="5" t="s">
        <v>6920</v>
      </c>
      <c r="J2971" s="12" t="str">
        <f>HYPERLINK("https://www.boe.es/gazeta/dias/1807/07/21/pdfs/GMD-1807-64.pdf#page=9","Abrir facsímil")</f>
        <v>Abrir facsímil</v>
      </c>
      <c r="K2971" s="15" t="s">
        <v>22</v>
      </c>
    </row>
    <row r="2972" spans="1:11" ht="42" customHeight="1">
      <c r="A2972" s="4" t="s">
        <v>6921</v>
      </c>
      <c r="B2972" s="5" t="s">
        <v>6921</v>
      </c>
      <c r="C2972" s="5" t="s">
        <v>28</v>
      </c>
      <c r="D2972" s="5" t="s">
        <v>29</v>
      </c>
      <c r="E2972" s="5" t="s">
        <v>245</v>
      </c>
      <c r="F2972" s="9">
        <v>97</v>
      </c>
      <c r="G2972" s="9">
        <v>1127</v>
      </c>
      <c r="H2972" s="5" t="s">
        <v>20</v>
      </c>
      <c r="I2972" s="5" t="s">
        <v>6922</v>
      </c>
      <c r="J2972" s="12" t="str">
        <f>HYPERLINK("https://www.boe.es/gazeta/dias/1807/10/30/pdfs/GMD-1807-97.pdf#page=7","Abrir facsímil")</f>
        <v>Abrir facsímil</v>
      </c>
      <c r="K2972" s="15" t="s">
        <v>22</v>
      </c>
    </row>
    <row r="2973" spans="1:11" ht="42" customHeight="1">
      <c r="A2973" s="4" t="s">
        <v>6923</v>
      </c>
      <c r="B2973" s="5" t="s">
        <v>6923</v>
      </c>
      <c r="C2973" s="5" t="s">
        <v>28</v>
      </c>
      <c r="D2973" s="5" t="s">
        <v>29</v>
      </c>
      <c r="E2973" s="5" t="s">
        <v>426</v>
      </c>
      <c r="F2973" s="9">
        <v>93</v>
      </c>
      <c r="G2973" s="9">
        <v>1080</v>
      </c>
      <c r="H2973" s="5" t="s">
        <v>20</v>
      </c>
      <c r="I2973" s="5" t="s">
        <v>6924</v>
      </c>
      <c r="J2973" s="12" t="str">
        <f>HYPERLINK("https://www.boe.es/gazeta/dias/1807/10/16/pdfs/GMD-1807-93.pdf#page=8","Abrir facsímil")</f>
        <v>Abrir facsímil</v>
      </c>
      <c r="K2973" s="15" t="s">
        <v>22</v>
      </c>
    </row>
    <row r="2974" spans="1:11" ht="42" customHeight="1">
      <c r="A2974" s="4" t="s">
        <v>6925</v>
      </c>
      <c r="B2974" s="5" t="s">
        <v>6925</v>
      </c>
      <c r="C2974" s="5" t="s">
        <v>28</v>
      </c>
      <c r="D2974" s="5" t="s">
        <v>29</v>
      </c>
      <c r="E2974" s="5" t="s">
        <v>42</v>
      </c>
      <c r="F2974" s="9">
        <v>31</v>
      </c>
      <c r="G2974" s="9">
        <v>367</v>
      </c>
      <c r="H2974" s="5" t="s">
        <v>20</v>
      </c>
      <c r="I2974" s="5" t="s">
        <v>6926</v>
      </c>
      <c r="J2974" s="12" t="str">
        <f>HYPERLINK("https://www.boe.es/gazeta/dias/1807/04/07/pdfs/GMD-1807-31.pdf#page=7","Abrir facsímil")</f>
        <v>Abrir facsímil</v>
      </c>
      <c r="K2974" s="15" t="s">
        <v>22</v>
      </c>
    </row>
    <row r="2975" spans="1:11" ht="42" customHeight="1">
      <c r="A2975" s="4" t="s">
        <v>6927</v>
      </c>
      <c r="B2975" s="5" t="s">
        <v>6927</v>
      </c>
      <c r="C2975" s="5" t="s">
        <v>34</v>
      </c>
      <c r="D2975" s="5" t="s">
        <v>35</v>
      </c>
      <c r="E2975" s="5" t="s">
        <v>471</v>
      </c>
      <c r="F2975" s="9">
        <v>51</v>
      </c>
      <c r="G2975" s="9">
        <v>606</v>
      </c>
      <c r="H2975" s="5" t="s">
        <v>20</v>
      </c>
      <c r="I2975" s="5" t="s">
        <v>6928</v>
      </c>
      <c r="J2975" s="12" t="str">
        <f>HYPERLINK("https://www.boe.es/gazeta/dias/1807/06/16/pdfs/GMD-1807-51.pdf#page=8","Abrir facsímil")</f>
        <v>Abrir facsímil</v>
      </c>
      <c r="K2975" s="15" t="s">
        <v>22</v>
      </c>
    </row>
    <row r="2976" spans="1:11" ht="42" customHeight="1">
      <c r="A2976" s="4" t="s">
        <v>6929</v>
      </c>
      <c r="B2976" s="5" t="s">
        <v>6929</v>
      </c>
      <c r="C2976" s="5" t="s">
        <v>34</v>
      </c>
      <c r="D2976" s="5" t="s">
        <v>35</v>
      </c>
      <c r="E2976" s="5" t="s">
        <v>422</v>
      </c>
      <c r="F2976" s="9">
        <v>33</v>
      </c>
      <c r="G2976" s="9">
        <v>392</v>
      </c>
      <c r="H2976" s="5" t="s">
        <v>20</v>
      </c>
      <c r="I2976" s="5" t="s">
        <v>6930</v>
      </c>
      <c r="J2976" s="12" t="str">
        <f>HYPERLINK("https://www.boe.es/gazeta/dias/1807/04/14/pdfs/GMD-1807-33.pdf#page=8","Abrir facsímil")</f>
        <v>Abrir facsímil</v>
      </c>
      <c r="K2976" s="15" t="s">
        <v>22</v>
      </c>
    </row>
    <row r="2977" spans="1:11" ht="42" customHeight="1">
      <c r="A2977" s="4" t="s">
        <v>6931</v>
      </c>
      <c r="B2977" s="5" t="s">
        <v>6931</v>
      </c>
      <c r="C2977" s="5" t="s">
        <v>17</v>
      </c>
      <c r="D2977" s="5" t="s">
        <v>18</v>
      </c>
      <c r="E2977" s="5" t="s">
        <v>275</v>
      </c>
      <c r="F2977" s="9">
        <v>104</v>
      </c>
      <c r="G2977" s="9">
        <v>1213</v>
      </c>
      <c r="H2977" s="5" t="s">
        <v>20</v>
      </c>
      <c r="I2977" s="5" t="s">
        <v>6932</v>
      </c>
      <c r="J2977" s="12" t="str">
        <f>HYPERLINK("https://www.boe.es/gazeta/dias/1807/11/24/pdfs/GMD-1807-104.pdf#page=9","Abrir facsímil")</f>
        <v>Abrir facsímil</v>
      </c>
      <c r="K2977" s="15" t="s">
        <v>22</v>
      </c>
    </row>
    <row r="2978" spans="1:11" ht="42" customHeight="1">
      <c r="A2978" s="4" t="s">
        <v>6933</v>
      </c>
      <c r="B2978" s="5" t="s">
        <v>6933</v>
      </c>
      <c r="C2978" s="5" t="s">
        <v>24</v>
      </c>
      <c r="D2978" s="5" t="s">
        <v>18</v>
      </c>
      <c r="E2978" s="5" t="s">
        <v>301</v>
      </c>
      <c r="F2978" s="9">
        <v>89</v>
      </c>
      <c r="G2978" s="9">
        <v>1031</v>
      </c>
      <c r="H2978" s="5" t="s">
        <v>20</v>
      </c>
      <c r="I2978" s="5" t="s">
        <v>6934</v>
      </c>
      <c r="J2978" s="12" t="str">
        <f>HYPERLINK("https://www.boe.es/gazeta/dias/1807/10/02/pdfs/GMD-1807-89.pdf#page=11","Abrir facsímil")</f>
        <v>Abrir facsímil</v>
      </c>
      <c r="K2978" s="15" t="s">
        <v>22</v>
      </c>
    </row>
    <row r="2979" spans="1:11" ht="42" customHeight="1">
      <c r="A2979" s="4" t="s">
        <v>6935</v>
      </c>
      <c r="B2979" s="5" t="s">
        <v>6935</v>
      </c>
      <c r="C2979" s="5" t="s">
        <v>24</v>
      </c>
      <c r="D2979" s="5" t="s">
        <v>18</v>
      </c>
      <c r="E2979" s="5" t="s">
        <v>83</v>
      </c>
      <c r="F2979" s="9">
        <v>50</v>
      </c>
      <c r="G2979" s="9">
        <v>598</v>
      </c>
      <c r="H2979" s="5" t="s">
        <v>20</v>
      </c>
      <c r="I2979" s="5" t="s">
        <v>6936</v>
      </c>
      <c r="J2979" s="12" t="str">
        <f>HYPERLINK("https://www.boe.es/gazeta/dias/1807/06/12/pdfs/GMD-1807-50.pdf#page=12","Abrir facsímil")</f>
        <v>Abrir facsímil</v>
      </c>
      <c r="K2979" s="15" t="s">
        <v>22</v>
      </c>
    </row>
    <row r="2980" spans="1:11" ht="42" customHeight="1">
      <c r="A2980" s="4" t="s">
        <v>6937</v>
      </c>
      <c r="B2980" s="5" t="s">
        <v>6937</v>
      </c>
      <c r="C2980" s="5" t="s">
        <v>34</v>
      </c>
      <c r="D2980" s="5" t="s">
        <v>35</v>
      </c>
      <c r="E2980" s="5" t="s">
        <v>25</v>
      </c>
      <c r="F2980" s="9">
        <v>45</v>
      </c>
      <c r="G2980" s="9">
        <v>540</v>
      </c>
      <c r="H2980" s="5" t="s">
        <v>20</v>
      </c>
      <c r="I2980" s="5" t="s">
        <v>6938</v>
      </c>
      <c r="J2980" s="12" t="str">
        <f>HYPERLINK("https://www.boe.es/gazeta/dias/1807/05/26/pdfs/GMD-1807-45.pdf#page=10","Abrir facsímil")</f>
        <v>Abrir facsímil</v>
      </c>
      <c r="K2980" s="15" t="s">
        <v>22</v>
      </c>
    </row>
    <row r="2981" spans="1:11" ht="42" customHeight="1">
      <c r="A2981" s="4" t="s">
        <v>6939</v>
      </c>
      <c r="B2981" s="5" t="s">
        <v>6939</v>
      </c>
      <c r="C2981" s="5" t="s">
        <v>28</v>
      </c>
      <c r="D2981" s="5" t="s">
        <v>29</v>
      </c>
      <c r="E2981" s="5" t="s">
        <v>414</v>
      </c>
      <c r="F2981" s="9">
        <v>40</v>
      </c>
      <c r="G2981" s="9">
        <v>481</v>
      </c>
      <c r="H2981" s="5" t="s">
        <v>20</v>
      </c>
      <c r="I2981" s="5" t="s">
        <v>6940</v>
      </c>
      <c r="J2981" s="12" t="str">
        <f>HYPERLINK("https://www.boe.es/gazeta/dias/1807/05/08/pdfs/GMD-1807-40.pdf#page=11","Abrir facsímil")</f>
        <v>Abrir facsímil</v>
      </c>
      <c r="K2981" s="15" t="s">
        <v>22</v>
      </c>
    </row>
    <row r="2982" spans="1:11" ht="42" customHeight="1">
      <c r="A2982" s="4" t="s">
        <v>6941</v>
      </c>
      <c r="B2982" s="5" t="s">
        <v>6941</v>
      </c>
      <c r="C2982" s="5" t="s">
        <v>89</v>
      </c>
      <c r="D2982" s="5" t="s">
        <v>90</v>
      </c>
      <c r="E2982" s="5" t="s">
        <v>406</v>
      </c>
      <c r="F2982" s="9">
        <v>82</v>
      </c>
      <c r="G2982" s="9">
        <v>960</v>
      </c>
      <c r="H2982" s="5" t="s">
        <v>20</v>
      </c>
      <c r="I2982" s="5" t="s">
        <v>6942</v>
      </c>
      <c r="J2982" s="12" t="str">
        <f>HYPERLINK("https://www.boe.es/gazeta/dias/1807/09/15/pdfs/GMD-1807-82.pdf#page=12","Abrir facsímil")</f>
        <v>Abrir facsímil</v>
      </c>
      <c r="K2982" s="15" t="s">
        <v>22</v>
      </c>
    </row>
    <row r="2983" spans="1:11" ht="42" customHeight="1">
      <c r="A2983" s="4" t="s">
        <v>6943</v>
      </c>
      <c r="B2983" s="5" t="s">
        <v>6943</v>
      </c>
      <c r="C2983" s="5" t="s">
        <v>28</v>
      </c>
      <c r="D2983" s="5" t="s">
        <v>29</v>
      </c>
      <c r="E2983" s="5" t="s">
        <v>156</v>
      </c>
      <c r="F2983" s="9">
        <v>74</v>
      </c>
      <c r="G2983" s="9">
        <v>859</v>
      </c>
      <c r="H2983" s="5" t="s">
        <v>20</v>
      </c>
      <c r="I2983" s="5" t="s">
        <v>6944</v>
      </c>
      <c r="J2983" s="12" t="str">
        <f>HYPERLINK("https://www.boe.es/gazeta/dias/1807/08/18/pdfs/GMD-1807-74.pdf#page=11","Abrir facsímil")</f>
        <v>Abrir facsímil</v>
      </c>
      <c r="K2983" s="15" t="s">
        <v>22</v>
      </c>
    </row>
    <row r="2984" spans="1:11" ht="42" customHeight="1">
      <c r="A2984" s="4" t="s">
        <v>6945</v>
      </c>
      <c r="B2984" s="5" t="s">
        <v>6945</v>
      </c>
      <c r="C2984" s="5" t="s">
        <v>34</v>
      </c>
      <c r="D2984" s="5" t="s">
        <v>35</v>
      </c>
      <c r="E2984" s="5" t="s">
        <v>422</v>
      </c>
      <c r="F2984" s="9">
        <v>33</v>
      </c>
      <c r="G2984" s="9">
        <v>395</v>
      </c>
      <c r="H2984" s="5" t="s">
        <v>20</v>
      </c>
      <c r="I2984" s="5" t="s">
        <v>6946</v>
      </c>
      <c r="J2984" s="12" t="str">
        <f>HYPERLINK("https://www.boe.es/gazeta/dias/1807/04/14/pdfs/GMD-1807-33.pdf#page=11","Abrir facsímil")</f>
        <v>Abrir facsímil</v>
      </c>
      <c r="K2984" s="15" t="s">
        <v>22</v>
      </c>
    </row>
    <row r="2985" spans="1:11" ht="42" customHeight="1">
      <c r="A2985" s="4" t="s">
        <v>6947</v>
      </c>
      <c r="B2985" s="5" t="s">
        <v>6947</v>
      </c>
      <c r="C2985" s="5" t="s">
        <v>34</v>
      </c>
      <c r="D2985" s="5" t="s">
        <v>35</v>
      </c>
      <c r="E2985" s="5" t="s">
        <v>98</v>
      </c>
      <c r="F2985" s="9">
        <v>34</v>
      </c>
      <c r="G2985" s="9">
        <v>406</v>
      </c>
      <c r="H2985" s="5" t="s">
        <v>20</v>
      </c>
      <c r="I2985" s="5" t="s">
        <v>6948</v>
      </c>
      <c r="J2985" s="12" t="str">
        <f>HYPERLINK("https://www.boe.es/gazeta/dias/1807/04/17/pdfs/GMD-1807-34.pdf#page=10","Abrir facsímil")</f>
        <v>Abrir facsímil</v>
      </c>
      <c r="K2985" s="15" t="s">
        <v>22</v>
      </c>
    </row>
    <row r="2986" spans="1:11" ht="42" customHeight="1">
      <c r="A2986" s="4" t="s">
        <v>6949</v>
      </c>
      <c r="B2986" s="5" t="s">
        <v>6949</v>
      </c>
      <c r="C2986" s="5" t="s">
        <v>28</v>
      </c>
      <c r="D2986" s="5" t="s">
        <v>29</v>
      </c>
      <c r="E2986" s="5" t="s">
        <v>83</v>
      </c>
      <c r="F2986" s="9">
        <v>50</v>
      </c>
      <c r="G2986" s="9">
        <v>594</v>
      </c>
      <c r="H2986" s="5" t="s">
        <v>20</v>
      </c>
      <c r="I2986" s="5" t="s">
        <v>6950</v>
      </c>
      <c r="J2986" s="12" t="str">
        <f>HYPERLINK("https://www.boe.es/gazeta/dias/1807/06/12/pdfs/GMD-1807-50.pdf#page=8","Abrir facsímil")</f>
        <v>Abrir facsímil</v>
      </c>
      <c r="K2986" s="15" t="s">
        <v>22</v>
      </c>
    </row>
    <row r="2987" spans="1:11" ht="42" customHeight="1">
      <c r="A2987" s="4" t="s">
        <v>6951</v>
      </c>
      <c r="B2987" s="5" t="s">
        <v>6951</v>
      </c>
      <c r="C2987" s="5" t="s">
        <v>28</v>
      </c>
      <c r="D2987" s="5" t="s">
        <v>29</v>
      </c>
      <c r="E2987" s="5" t="s">
        <v>76</v>
      </c>
      <c r="F2987" s="9">
        <v>7</v>
      </c>
      <c r="G2987" s="9">
        <v>77</v>
      </c>
      <c r="H2987" s="5" t="s">
        <v>20</v>
      </c>
      <c r="I2987" s="5" t="s">
        <v>6952</v>
      </c>
      <c r="J2987" s="12" t="str">
        <f>HYPERLINK("https://www.boe.es/gazeta/dias/1807/01/20/pdfs/GMD-1807-7.pdf#page=9","Abrir facsímil")</f>
        <v>Abrir facsímil</v>
      </c>
      <c r="K2987" s="15" t="s">
        <v>22</v>
      </c>
    </row>
    <row r="2988" spans="1:11" ht="42" customHeight="1">
      <c r="A2988" s="4" t="s">
        <v>6953</v>
      </c>
      <c r="B2988" s="5" t="s">
        <v>6954</v>
      </c>
      <c r="C2988" s="5" t="s">
        <v>49</v>
      </c>
      <c r="D2988" s="5" t="s">
        <v>50</v>
      </c>
      <c r="E2988" s="5" t="s">
        <v>393</v>
      </c>
      <c r="F2988" s="9">
        <v>15</v>
      </c>
      <c r="G2988" s="9">
        <v>170</v>
      </c>
      <c r="H2988" s="5" t="s">
        <v>20</v>
      </c>
      <c r="I2988" s="5" t="s">
        <v>6955</v>
      </c>
      <c r="J2988" s="12" t="str">
        <f>HYPERLINK("https://www.boe.es/gazeta/dias/1807/02/13/pdfs/GMD-1807-15.pdf#page=6","Abrir facsímil")</f>
        <v>Abrir facsímil</v>
      </c>
      <c r="K2988" s="15" t="s">
        <v>22</v>
      </c>
    </row>
    <row r="2989" spans="1:11" ht="42" customHeight="1">
      <c r="A2989" s="4" t="s">
        <v>6956</v>
      </c>
      <c r="B2989" s="5" t="s">
        <v>6957</v>
      </c>
      <c r="C2989" s="5" t="s">
        <v>28</v>
      </c>
      <c r="D2989" s="5" t="s">
        <v>29</v>
      </c>
      <c r="E2989" s="5" t="s">
        <v>106</v>
      </c>
      <c r="F2989" s="9">
        <v>39</v>
      </c>
      <c r="G2989" s="9">
        <v>466</v>
      </c>
      <c r="H2989" s="5" t="s">
        <v>20</v>
      </c>
      <c r="I2989" s="5" t="s">
        <v>6958</v>
      </c>
      <c r="J2989" s="12" t="str">
        <f>HYPERLINK("https://www.boe.es/gazeta/dias/1807/05/05/pdfs/GMD-1807-39.pdf#page=8","Abrir facsímil")</f>
        <v>Abrir facsímil</v>
      </c>
      <c r="K2989" s="15" t="s">
        <v>22</v>
      </c>
    </row>
    <row r="2990" spans="1:11" ht="42" customHeight="1">
      <c r="A2990" s="4" t="s">
        <v>6959</v>
      </c>
      <c r="B2990" s="5" t="s">
        <v>6959</v>
      </c>
      <c r="C2990" s="5" t="s">
        <v>34</v>
      </c>
      <c r="D2990" s="5" t="s">
        <v>35</v>
      </c>
      <c r="E2990" s="5" t="s">
        <v>156</v>
      </c>
      <c r="F2990" s="9">
        <v>74</v>
      </c>
      <c r="G2990" s="9">
        <v>858</v>
      </c>
      <c r="H2990" s="5" t="s">
        <v>20</v>
      </c>
      <c r="I2990" s="5" t="s">
        <v>6960</v>
      </c>
      <c r="J2990" s="12" t="str">
        <f>HYPERLINK("https://www.boe.es/gazeta/dias/1807/08/18/pdfs/GMD-1807-74.pdf#page=10","Abrir facsímil")</f>
        <v>Abrir facsímil</v>
      </c>
      <c r="K2990" s="15" t="s">
        <v>22</v>
      </c>
    </row>
    <row r="2991" spans="1:11" ht="42" customHeight="1">
      <c r="A2991" s="4" t="s">
        <v>6961</v>
      </c>
      <c r="B2991" s="5" t="s">
        <v>6962</v>
      </c>
      <c r="C2991" s="5" t="s">
        <v>28</v>
      </c>
      <c r="D2991" s="5" t="s">
        <v>29</v>
      </c>
      <c r="E2991" s="5" t="s">
        <v>76</v>
      </c>
      <c r="F2991" s="9">
        <v>7</v>
      </c>
      <c r="G2991" s="9">
        <v>73</v>
      </c>
      <c r="H2991" s="5" t="s">
        <v>20</v>
      </c>
      <c r="I2991" s="5" t="s">
        <v>6963</v>
      </c>
      <c r="J2991" s="12" t="str">
        <f>HYPERLINK("https://www.boe.es/gazeta/dias/1807/01/20/pdfs/GMD-1807-7.pdf#page=5","Abrir facsímil")</f>
        <v>Abrir facsímil</v>
      </c>
      <c r="K2991" s="15" t="s">
        <v>22</v>
      </c>
    </row>
    <row r="2992" spans="1:11" ht="42" customHeight="1">
      <c r="A2992" s="4" t="s">
        <v>6964</v>
      </c>
      <c r="B2992" s="5" t="s">
        <v>6965</v>
      </c>
      <c r="C2992" s="5" t="s">
        <v>89</v>
      </c>
      <c r="D2992" s="5" t="s">
        <v>90</v>
      </c>
      <c r="E2992" s="5" t="s">
        <v>167</v>
      </c>
      <c r="F2992" s="9">
        <v>77</v>
      </c>
      <c r="G2992" s="9">
        <v>892</v>
      </c>
      <c r="H2992" s="5" t="s">
        <v>20</v>
      </c>
      <c r="I2992" s="5" t="s">
        <v>6966</v>
      </c>
      <c r="J2992" s="12" t="str">
        <f>HYPERLINK("https://www.boe.es/gazeta/dias/1807/08/28/pdfs/GMD-1807-77.pdf#page=8","Abrir facsímil")</f>
        <v>Abrir facsímil</v>
      </c>
      <c r="K2992" s="15" t="s">
        <v>22</v>
      </c>
    </row>
    <row r="2993" spans="1:11" ht="42" customHeight="1">
      <c r="A2993" s="4" t="s">
        <v>6967</v>
      </c>
      <c r="B2993" s="5" t="s">
        <v>6968</v>
      </c>
      <c r="C2993" s="5" t="s">
        <v>28</v>
      </c>
      <c r="D2993" s="5" t="s">
        <v>29</v>
      </c>
      <c r="E2993" s="5" t="s">
        <v>215</v>
      </c>
      <c r="F2993" s="9">
        <v>5</v>
      </c>
      <c r="G2993" s="9">
        <v>50</v>
      </c>
      <c r="H2993" s="5" t="s">
        <v>20</v>
      </c>
      <c r="I2993" s="5" t="s">
        <v>6969</v>
      </c>
      <c r="J2993" s="12" t="str">
        <f>HYPERLINK("https://www.boe.es/gazeta/dias/1807/01/16/pdfs/GMD-1807-5.pdf#page=6","Abrir facsímil")</f>
        <v>Abrir facsímil</v>
      </c>
      <c r="K2993" s="15" t="s">
        <v>22</v>
      </c>
    </row>
    <row r="2994" spans="1:11" ht="42" customHeight="1">
      <c r="A2994" s="4" t="s">
        <v>6967</v>
      </c>
      <c r="B2994" s="5" t="s">
        <v>6968</v>
      </c>
      <c r="C2994" s="5" t="s">
        <v>49</v>
      </c>
      <c r="D2994" s="5" t="s">
        <v>50</v>
      </c>
      <c r="E2994" s="5" t="s">
        <v>270</v>
      </c>
      <c r="F2994" s="9">
        <v>8</v>
      </c>
      <c r="G2994" s="9">
        <v>87</v>
      </c>
      <c r="H2994" s="5" t="s">
        <v>20</v>
      </c>
      <c r="I2994" s="5" t="s">
        <v>6970</v>
      </c>
      <c r="J2994" s="12" t="str">
        <f>HYPERLINK("https://www.boe.es/gazeta/dias/1807/01/23/pdfs/GMD-1807-8.pdf#page=3","Abrir facsímil")</f>
        <v>Abrir facsímil</v>
      </c>
      <c r="K2994" s="15" t="s">
        <v>22</v>
      </c>
    </row>
    <row r="2995" spans="1:11" ht="42" customHeight="1">
      <c r="A2995" s="4" t="s">
        <v>6967</v>
      </c>
      <c r="B2995" s="5" t="s">
        <v>6968</v>
      </c>
      <c r="C2995" s="5" t="s">
        <v>49</v>
      </c>
      <c r="D2995" s="5" t="s">
        <v>50</v>
      </c>
      <c r="E2995" s="5" t="s">
        <v>176</v>
      </c>
      <c r="F2995" s="9">
        <v>17</v>
      </c>
      <c r="G2995" s="9">
        <v>192</v>
      </c>
      <c r="H2995" s="5" t="s">
        <v>20</v>
      </c>
      <c r="I2995" s="5" t="s">
        <v>6971</v>
      </c>
      <c r="J2995" s="12" t="str">
        <f>HYPERLINK("https://www.boe.es/gazeta/dias/1807/02/20/pdfs/GMD-1807-17.pdf#page=4","Abrir facsímil")</f>
        <v>Abrir facsímil</v>
      </c>
      <c r="K2995" s="15" t="s">
        <v>22</v>
      </c>
    </row>
    <row r="2996" spans="1:11" ht="42" customHeight="1">
      <c r="A2996" s="4" t="s">
        <v>6967</v>
      </c>
      <c r="B2996" s="5" t="s">
        <v>6968</v>
      </c>
      <c r="C2996" s="5" t="s">
        <v>49</v>
      </c>
      <c r="D2996" s="5" t="s">
        <v>50</v>
      </c>
      <c r="E2996" s="5" t="s">
        <v>464</v>
      </c>
      <c r="F2996" s="9">
        <v>18</v>
      </c>
      <c r="G2996" s="9">
        <v>208</v>
      </c>
      <c r="H2996" s="5" t="s">
        <v>20</v>
      </c>
      <c r="I2996" s="5" t="s">
        <v>6972</v>
      </c>
      <c r="J2996" s="12" t="str">
        <f>HYPERLINK("https://www.boe.es/gazeta/dias/1807/02/24/pdfs/GMD-1807-18.pdf#page=8","Abrir facsímil")</f>
        <v>Abrir facsímil</v>
      </c>
      <c r="K2996" s="15" t="s">
        <v>22</v>
      </c>
    </row>
    <row r="2997" spans="1:11" ht="42" customHeight="1">
      <c r="A2997" s="4" t="s">
        <v>6973</v>
      </c>
      <c r="B2997" s="5" t="s">
        <v>6974</v>
      </c>
      <c r="C2997" s="5" t="s">
        <v>49</v>
      </c>
      <c r="D2997" s="5" t="s">
        <v>50</v>
      </c>
      <c r="E2997" s="5" t="s">
        <v>572</v>
      </c>
      <c r="F2997" s="9">
        <v>14</v>
      </c>
      <c r="G2997" s="9">
        <v>159</v>
      </c>
      <c r="H2997" s="5" t="s">
        <v>20</v>
      </c>
      <c r="I2997" s="5" t="s">
        <v>6975</v>
      </c>
      <c r="J2997" s="12" t="str">
        <f>HYPERLINK("https://www.boe.es/gazeta/dias/1807/02/10/pdfs/GMD-1807-14.pdf#page=7","Abrir facsímil")</f>
        <v>Abrir facsímil</v>
      </c>
      <c r="K2997" s="15" t="s">
        <v>22</v>
      </c>
    </row>
    <row r="2998" spans="1:11" ht="42" customHeight="1">
      <c r="A2998" s="4" t="s">
        <v>6973</v>
      </c>
      <c r="B2998" s="5" t="s">
        <v>6974</v>
      </c>
      <c r="C2998" s="5" t="s">
        <v>49</v>
      </c>
      <c r="D2998" s="5" t="s">
        <v>50</v>
      </c>
      <c r="E2998" s="5" t="s">
        <v>393</v>
      </c>
      <c r="F2998" s="9">
        <v>15</v>
      </c>
      <c r="G2998" s="9">
        <v>166</v>
      </c>
      <c r="H2998" s="5" t="s">
        <v>20</v>
      </c>
      <c r="I2998" s="5" t="s">
        <v>6976</v>
      </c>
      <c r="J2998" s="12" t="str">
        <f>HYPERLINK("https://www.boe.es/gazeta/dias/1807/02/13/pdfs/GMD-1807-15.pdf#page=2","Abrir facsímil")</f>
        <v>Abrir facsímil</v>
      </c>
      <c r="K2998" s="15" t="s">
        <v>22</v>
      </c>
    </row>
    <row r="2999" spans="1:11" ht="42" customHeight="1">
      <c r="A2999" s="4" t="s">
        <v>6977</v>
      </c>
      <c r="B2999" s="5" t="s">
        <v>6978</v>
      </c>
      <c r="C2999" s="5" t="s">
        <v>252</v>
      </c>
      <c r="D2999" s="5" t="s">
        <v>253</v>
      </c>
      <c r="E2999" s="5" t="s">
        <v>534</v>
      </c>
      <c r="F2999" s="9" t="s">
        <v>535</v>
      </c>
      <c r="G2999" s="9">
        <v>99</v>
      </c>
      <c r="H2999" s="5" t="s">
        <v>20</v>
      </c>
      <c r="I2999" s="5" t="s">
        <v>6979</v>
      </c>
      <c r="J2999" s="12" t="str">
        <f>HYPERLINK("https://www.boe.es/gazeta/dias/1807/01/24/pdfs/GMD-1807-9E.pdf#page=3","Abrir facsímil")</f>
        <v>Abrir facsímil</v>
      </c>
      <c r="K2999" s="15" t="s">
        <v>22</v>
      </c>
    </row>
    <row r="3000" spans="1:11" ht="42" customHeight="1">
      <c r="A3000" s="4" t="s">
        <v>6980</v>
      </c>
      <c r="B3000" s="5" t="s">
        <v>6981</v>
      </c>
      <c r="C3000" s="5" t="s">
        <v>252</v>
      </c>
      <c r="D3000" s="5" t="s">
        <v>253</v>
      </c>
      <c r="E3000" s="5" t="s">
        <v>534</v>
      </c>
      <c r="F3000" s="9" t="s">
        <v>535</v>
      </c>
      <c r="G3000" s="9">
        <v>98</v>
      </c>
      <c r="H3000" s="5" t="s">
        <v>20</v>
      </c>
      <c r="I3000" s="5" t="s">
        <v>6982</v>
      </c>
      <c r="J3000" s="12" t="str">
        <f>HYPERLINK("https://www.boe.es/gazeta/dias/1807/01/24/pdfs/GMD-1807-9E.pdf#page=2","Abrir facsímil")</f>
        <v>Abrir facsímil</v>
      </c>
      <c r="K3000" s="15" t="s">
        <v>22</v>
      </c>
    </row>
    <row r="3001" spans="1:11" ht="42" customHeight="1">
      <c r="A3001" s="4" t="s">
        <v>6983</v>
      </c>
      <c r="B3001" s="5" t="s">
        <v>6984</v>
      </c>
      <c r="C3001" s="5" t="s">
        <v>34</v>
      </c>
      <c r="D3001" s="5" t="s">
        <v>35</v>
      </c>
      <c r="E3001" s="5" t="s">
        <v>152</v>
      </c>
      <c r="F3001" s="9">
        <v>61</v>
      </c>
      <c r="G3001" s="9">
        <v>720</v>
      </c>
      <c r="H3001" s="5" t="s">
        <v>20</v>
      </c>
      <c r="I3001" s="5" t="s">
        <v>6985</v>
      </c>
      <c r="J3001" s="12" t="str">
        <f>HYPERLINK("https://www.boe.es/gazeta/dias/1807/07/14/pdfs/GMD-1807-61.pdf#page=6","Abrir facsímil")</f>
        <v>Abrir facsímil</v>
      </c>
      <c r="K3001" s="15" t="s">
        <v>22</v>
      </c>
    </row>
    <row r="3002" spans="1:11" ht="42" customHeight="1">
      <c r="A3002" s="4" t="s">
        <v>6986</v>
      </c>
      <c r="B3002" s="5" t="s">
        <v>6987</v>
      </c>
      <c r="C3002" s="5" t="s">
        <v>34</v>
      </c>
      <c r="D3002" s="5" t="s">
        <v>35</v>
      </c>
      <c r="E3002" s="5" t="s">
        <v>156</v>
      </c>
      <c r="F3002" s="9">
        <v>74</v>
      </c>
      <c r="G3002" s="9">
        <v>856</v>
      </c>
      <c r="H3002" s="5" t="s">
        <v>20</v>
      </c>
      <c r="I3002" s="5" t="s">
        <v>6988</v>
      </c>
      <c r="J3002" s="12" t="str">
        <f>HYPERLINK("https://www.boe.es/gazeta/dias/1807/08/18/pdfs/GMD-1807-74.pdf#page=8","Abrir facsímil")</f>
        <v>Abrir facsímil</v>
      </c>
      <c r="K3002" s="15" t="s">
        <v>22</v>
      </c>
    </row>
    <row r="3003" spans="1:11" ht="42" customHeight="1">
      <c r="A3003" s="4" t="s">
        <v>6989</v>
      </c>
      <c r="B3003" s="5" t="s">
        <v>6990</v>
      </c>
      <c r="C3003" s="5" t="s">
        <v>24</v>
      </c>
      <c r="D3003" s="5" t="s">
        <v>18</v>
      </c>
      <c r="E3003" s="5" t="s">
        <v>83</v>
      </c>
      <c r="F3003" s="9">
        <v>50</v>
      </c>
      <c r="G3003" s="9">
        <v>590</v>
      </c>
      <c r="H3003" s="5" t="s">
        <v>20</v>
      </c>
      <c r="I3003" s="5" t="s">
        <v>6991</v>
      </c>
      <c r="J3003" s="12" t="str">
        <f>HYPERLINK("https://www.boe.es/gazeta/dias/1807/06/12/pdfs/GMD-1807-50.pdf#page=4","Abrir facsímil")</f>
        <v>Abrir facsímil</v>
      </c>
      <c r="K3003" s="15" t="s">
        <v>22</v>
      </c>
    </row>
    <row r="3004" spans="1:11" ht="42" customHeight="1">
      <c r="A3004" s="4" t="s">
        <v>6992</v>
      </c>
      <c r="B3004" s="5" t="s">
        <v>6993</v>
      </c>
      <c r="C3004" s="5" t="s">
        <v>28</v>
      </c>
      <c r="D3004" s="5" t="s">
        <v>29</v>
      </c>
      <c r="E3004" s="5" t="s">
        <v>418</v>
      </c>
      <c r="F3004" s="9">
        <v>4</v>
      </c>
      <c r="G3004" s="9">
        <v>38</v>
      </c>
      <c r="H3004" s="5" t="s">
        <v>20</v>
      </c>
      <c r="I3004" s="5" t="s">
        <v>6994</v>
      </c>
      <c r="J3004" s="12" t="str">
        <f>HYPERLINK("https://www.boe.es/gazeta/dias/1807/01/13/pdfs/GMD-1807-4.pdf#page=6","Abrir facsímil")</f>
        <v>Abrir facsímil</v>
      </c>
      <c r="K3004" s="15" t="s">
        <v>22</v>
      </c>
    </row>
    <row r="3005" spans="1:11" ht="42" customHeight="1">
      <c r="A3005" s="4" t="s">
        <v>6995</v>
      </c>
      <c r="B3005" s="5" t="s">
        <v>6995</v>
      </c>
      <c r="C3005" s="5" t="s">
        <v>49</v>
      </c>
      <c r="D3005" s="5" t="s">
        <v>50</v>
      </c>
      <c r="E3005" s="5" t="s">
        <v>561</v>
      </c>
      <c r="F3005" s="9">
        <v>44</v>
      </c>
      <c r="G3005" s="9">
        <v>522</v>
      </c>
      <c r="H3005" s="5" t="s">
        <v>20</v>
      </c>
      <c r="I3005" s="5" t="s">
        <v>6996</v>
      </c>
      <c r="J3005" s="12" t="str">
        <f>HYPERLINK("https://www.boe.es/gazeta/dias/1807/05/22/pdfs/GMD-1807-44.pdf#page=4","Abrir facsímil")</f>
        <v>Abrir facsímil</v>
      </c>
      <c r="K3005" s="15" t="s">
        <v>22</v>
      </c>
    </row>
    <row r="3006" spans="1:11" ht="42" customHeight="1">
      <c r="A3006" s="4" t="s">
        <v>6995</v>
      </c>
      <c r="B3006" s="5" t="s">
        <v>6995</v>
      </c>
      <c r="C3006" s="5" t="s">
        <v>34</v>
      </c>
      <c r="D3006" s="5" t="s">
        <v>35</v>
      </c>
      <c r="E3006" s="5" t="s">
        <v>561</v>
      </c>
      <c r="F3006" s="9">
        <v>44</v>
      </c>
      <c r="G3006" s="9">
        <v>523</v>
      </c>
      <c r="H3006" s="5" t="s">
        <v>20</v>
      </c>
      <c r="I3006" s="5" t="s">
        <v>6997</v>
      </c>
      <c r="J3006" s="12" t="str">
        <f>HYPERLINK("https://www.boe.es/gazeta/dias/1807/05/22/pdfs/GMD-1807-44.pdf#page=5","Abrir facsímil")</f>
        <v>Abrir facsímil</v>
      </c>
      <c r="K3006" s="15" t="s">
        <v>22</v>
      </c>
    </row>
    <row r="3007" spans="1:11" ht="42" customHeight="1">
      <c r="A3007" s="4" t="s">
        <v>6998</v>
      </c>
      <c r="B3007" s="5" t="s">
        <v>6999</v>
      </c>
      <c r="C3007" s="5" t="s">
        <v>34</v>
      </c>
      <c r="D3007" s="5" t="s">
        <v>35</v>
      </c>
      <c r="E3007" s="5" t="s">
        <v>30</v>
      </c>
      <c r="F3007" s="9">
        <v>13</v>
      </c>
      <c r="G3007" s="9">
        <v>149</v>
      </c>
      <c r="H3007" s="5" t="s">
        <v>20</v>
      </c>
      <c r="I3007" s="5" t="s">
        <v>7000</v>
      </c>
      <c r="J3007" s="12" t="str">
        <f>HYPERLINK("https://www.boe.es/gazeta/dias/1807/02/06/pdfs/GMD-1807-13.pdf#page=9","Abrir facsímil")</f>
        <v>Abrir facsímil</v>
      </c>
      <c r="K3007" s="15" t="s">
        <v>22</v>
      </c>
    </row>
    <row r="3008" spans="1:11" ht="42" customHeight="1">
      <c r="A3008" s="4" t="s">
        <v>7001</v>
      </c>
      <c r="B3008" s="5" t="s">
        <v>7001</v>
      </c>
      <c r="C3008" s="5" t="s">
        <v>49</v>
      </c>
      <c r="D3008" s="5" t="s">
        <v>50</v>
      </c>
      <c r="E3008" s="5" t="s">
        <v>305</v>
      </c>
      <c r="F3008" s="9">
        <v>53</v>
      </c>
      <c r="G3008" s="9">
        <v>628</v>
      </c>
      <c r="H3008" s="5" t="s">
        <v>20</v>
      </c>
      <c r="I3008" s="5" t="s">
        <v>7002</v>
      </c>
      <c r="J3008" s="12" t="str">
        <f>HYPERLINK("https://www.boe.es/gazeta/dias/1807/06/23/pdfs/GMD-1807-53.pdf#page=2","Abrir facsímil")</f>
        <v>Abrir facsímil</v>
      </c>
      <c r="K3008" s="15" t="s">
        <v>22</v>
      </c>
    </row>
    <row r="3009" spans="1:11" ht="42" customHeight="1">
      <c r="A3009" s="4" t="s">
        <v>7003</v>
      </c>
      <c r="B3009" s="5" t="s">
        <v>7004</v>
      </c>
      <c r="C3009" s="5" t="s">
        <v>49</v>
      </c>
      <c r="D3009" s="5" t="s">
        <v>50</v>
      </c>
      <c r="E3009" s="5" t="s">
        <v>393</v>
      </c>
      <c r="F3009" s="9">
        <v>15</v>
      </c>
      <c r="G3009" s="9">
        <v>166</v>
      </c>
      <c r="H3009" s="5" t="s">
        <v>20</v>
      </c>
      <c r="I3009" s="5" t="s">
        <v>7005</v>
      </c>
      <c r="J3009" s="12" t="str">
        <f>HYPERLINK("https://www.boe.es/gazeta/dias/1807/02/13/pdfs/GMD-1807-15.pdf#page=2","Abrir facsímil")</f>
        <v>Abrir facsímil</v>
      </c>
      <c r="K3009" s="15" t="s">
        <v>22</v>
      </c>
    </row>
    <row r="3010" spans="1:11" ht="42" customHeight="1">
      <c r="A3010" s="4" t="s">
        <v>7006</v>
      </c>
      <c r="B3010" s="5" t="s">
        <v>7006</v>
      </c>
      <c r="C3010" s="5" t="s">
        <v>28</v>
      </c>
      <c r="D3010" s="5" t="s">
        <v>29</v>
      </c>
      <c r="E3010" s="5" t="s">
        <v>167</v>
      </c>
      <c r="F3010" s="9">
        <v>77</v>
      </c>
      <c r="G3010" s="9">
        <v>891</v>
      </c>
      <c r="H3010" s="5" t="s">
        <v>20</v>
      </c>
      <c r="I3010" s="5" t="s">
        <v>7007</v>
      </c>
      <c r="J3010" s="12" t="str">
        <f>HYPERLINK("https://www.boe.es/gazeta/dias/1807/08/28/pdfs/GMD-1807-77.pdf#page=7","Abrir facsímil")</f>
        <v>Abrir facsímil</v>
      </c>
      <c r="K3010" s="15" t="s">
        <v>22</v>
      </c>
    </row>
    <row r="3011" spans="1:11" ht="42" customHeight="1">
      <c r="A3011" s="4" t="s">
        <v>7008</v>
      </c>
      <c r="B3011" s="5" t="s">
        <v>7009</v>
      </c>
      <c r="C3011" s="5" t="s">
        <v>34</v>
      </c>
      <c r="D3011" s="5" t="s">
        <v>35</v>
      </c>
      <c r="E3011" s="5" t="s">
        <v>393</v>
      </c>
      <c r="F3011" s="9">
        <v>15</v>
      </c>
      <c r="G3011" s="9">
        <v>166</v>
      </c>
      <c r="H3011" s="5" t="s">
        <v>20</v>
      </c>
      <c r="I3011" s="5" t="s">
        <v>7010</v>
      </c>
      <c r="J3011" s="12" t="str">
        <f>HYPERLINK("https://www.boe.es/gazeta/dias/1807/02/13/pdfs/GMD-1807-15.pdf#page=2","Abrir facsímil")</f>
        <v>Abrir facsímil</v>
      </c>
      <c r="K3011" s="15" t="s">
        <v>22</v>
      </c>
    </row>
    <row r="3012" spans="1:11" ht="42" customHeight="1">
      <c r="A3012" s="4" t="s">
        <v>7011</v>
      </c>
      <c r="B3012" s="5" t="s">
        <v>7011</v>
      </c>
      <c r="C3012" s="5" t="s">
        <v>89</v>
      </c>
      <c r="D3012" s="5" t="s">
        <v>90</v>
      </c>
      <c r="E3012" s="5" t="s">
        <v>305</v>
      </c>
      <c r="F3012" s="9">
        <v>53</v>
      </c>
      <c r="G3012" s="9">
        <v>632</v>
      </c>
      <c r="H3012" s="5" t="s">
        <v>20</v>
      </c>
      <c r="I3012" s="5" t="s">
        <v>7012</v>
      </c>
      <c r="J3012" s="12" t="str">
        <f>HYPERLINK("https://www.boe.es/gazeta/dias/1807/06/23/pdfs/GMD-1807-53.pdf#page=6","Abrir facsímil")</f>
        <v>Abrir facsímil</v>
      </c>
      <c r="K3012" s="15" t="s">
        <v>22</v>
      </c>
    </row>
    <row r="3013" spans="1:11" ht="42" customHeight="1">
      <c r="A3013" s="4" t="s">
        <v>7013</v>
      </c>
      <c r="B3013" s="5" t="s">
        <v>7014</v>
      </c>
      <c r="C3013" s="5" t="s">
        <v>28</v>
      </c>
      <c r="D3013" s="5" t="s">
        <v>29</v>
      </c>
      <c r="E3013" s="5" t="s">
        <v>215</v>
      </c>
      <c r="F3013" s="9">
        <v>5</v>
      </c>
      <c r="G3013" s="9">
        <v>47</v>
      </c>
      <c r="H3013" s="5" t="s">
        <v>20</v>
      </c>
      <c r="I3013" s="5" t="s">
        <v>7015</v>
      </c>
      <c r="J3013" s="12" t="str">
        <f>HYPERLINK("https://www.boe.es/gazeta/dias/1807/01/16/pdfs/GMD-1807-5.pdf#page=3","Abrir facsímil")</f>
        <v>Abrir facsímil</v>
      </c>
      <c r="K3013" s="15" t="s">
        <v>22</v>
      </c>
    </row>
    <row r="3014" spans="1:11" ht="42" customHeight="1">
      <c r="A3014" s="4" t="s">
        <v>7016</v>
      </c>
      <c r="B3014" s="5" t="s">
        <v>7017</v>
      </c>
      <c r="C3014" s="5" t="s">
        <v>49</v>
      </c>
      <c r="D3014" s="5" t="s">
        <v>50</v>
      </c>
      <c r="E3014" s="5" t="s">
        <v>572</v>
      </c>
      <c r="F3014" s="9">
        <v>14</v>
      </c>
      <c r="G3014" s="9">
        <v>159</v>
      </c>
      <c r="H3014" s="5" t="s">
        <v>20</v>
      </c>
      <c r="I3014" s="5" t="s">
        <v>7018</v>
      </c>
      <c r="J3014" s="12" t="str">
        <f>HYPERLINK("https://www.boe.es/gazeta/dias/1807/02/10/pdfs/GMD-1807-14.pdf#page=7","Abrir facsímil")</f>
        <v>Abrir facsímil</v>
      </c>
      <c r="K3014" s="15" t="s">
        <v>22</v>
      </c>
    </row>
    <row r="3015" spans="1:11" ht="42" customHeight="1">
      <c r="A3015" s="4" t="s">
        <v>7019</v>
      </c>
      <c r="B3015" s="5" t="s">
        <v>7020</v>
      </c>
      <c r="C3015" s="5" t="s">
        <v>252</v>
      </c>
      <c r="D3015" s="5" t="s">
        <v>253</v>
      </c>
      <c r="E3015" s="5" t="s">
        <v>254</v>
      </c>
      <c r="F3015" s="9" t="s">
        <v>255</v>
      </c>
      <c r="G3015" s="9">
        <v>789</v>
      </c>
      <c r="H3015" s="5" t="s">
        <v>20</v>
      </c>
      <c r="I3015" s="5" t="s">
        <v>7021</v>
      </c>
      <c r="J3015" s="12" t="str">
        <f>HYPERLINK("https://www.boe.es/gazeta/dias/1807/08/02/pdfs/GMD-1807-69E.pdf#page=1","Abrir facsímil")</f>
        <v>Abrir facsímil</v>
      </c>
      <c r="K3015" s="15" t="s">
        <v>22</v>
      </c>
    </row>
    <row r="3016" spans="1:11" ht="42" customHeight="1">
      <c r="A3016" s="4" t="s">
        <v>7022</v>
      </c>
      <c r="B3016" s="5" t="s">
        <v>7023</v>
      </c>
      <c r="C3016" s="5" t="s">
        <v>49</v>
      </c>
      <c r="D3016" s="5" t="s">
        <v>50</v>
      </c>
      <c r="E3016" s="5" t="s">
        <v>123</v>
      </c>
      <c r="F3016" s="9">
        <v>70</v>
      </c>
      <c r="G3016" s="9">
        <v>802</v>
      </c>
      <c r="H3016" s="5" t="s">
        <v>20</v>
      </c>
      <c r="I3016" s="5" t="s">
        <v>7024</v>
      </c>
      <c r="J3016" s="12" t="str">
        <f>HYPERLINK("https://www.boe.es/gazeta/dias/1807/08/04/pdfs/GMD-1807-70.pdf#page=6","Abrir facsímil")</f>
        <v>Abrir facsímil</v>
      </c>
      <c r="K3016" s="15" t="s">
        <v>22</v>
      </c>
    </row>
    <row r="3017" spans="1:11" ht="42" customHeight="1">
      <c r="A3017" s="4" t="s">
        <v>7025</v>
      </c>
      <c r="B3017" s="5" t="s">
        <v>7026</v>
      </c>
      <c r="C3017" s="5" t="s">
        <v>49</v>
      </c>
      <c r="D3017" s="5" t="s">
        <v>50</v>
      </c>
      <c r="E3017" s="5" t="s">
        <v>376</v>
      </c>
      <c r="F3017" s="9">
        <v>19</v>
      </c>
      <c r="G3017" s="9">
        <v>223</v>
      </c>
      <c r="H3017" s="5" t="s">
        <v>20</v>
      </c>
      <c r="I3017" s="5" t="s">
        <v>7027</v>
      </c>
      <c r="J3017" s="12" t="str">
        <f>HYPERLINK("https://www.boe.es/gazeta/dias/1807/02/27/pdfs/GMD-1807-19.pdf#page=7","Abrir facsímil")</f>
        <v>Abrir facsímil</v>
      </c>
      <c r="K3017" s="15" t="s">
        <v>22</v>
      </c>
    </row>
    <row r="3018" spans="1:11" ht="42" customHeight="1">
      <c r="A3018" s="4" t="s">
        <v>7028</v>
      </c>
      <c r="B3018" s="5" t="s">
        <v>7028</v>
      </c>
      <c r="C3018" s="5" t="s">
        <v>49</v>
      </c>
      <c r="D3018" s="5" t="s">
        <v>50</v>
      </c>
      <c r="E3018" s="5" t="s">
        <v>426</v>
      </c>
      <c r="F3018" s="9">
        <v>93</v>
      </c>
      <c r="G3018" s="9">
        <v>1073</v>
      </c>
      <c r="H3018" s="5" t="s">
        <v>20</v>
      </c>
      <c r="I3018" s="5" t="s">
        <v>7029</v>
      </c>
      <c r="J3018" s="12" t="str">
        <f>HYPERLINK("https://www.boe.es/gazeta/dias/1807/10/16/pdfs/GMD-1807-93.pdf#page=1","Abrir facsímil")</f>
        <v>Abrir facsímil</v>
      </c>
      <c r="K3018" s="15" t="s">
        <v>22</v>
      </c>
    </row>
    <row r="3019" spans="1:11" ht="42" customHeight="1">
      <c r="A3019" s="4" t="s">
        <v>7030</v>
      </c>
      <c r="B3019" s="5" t="s">
        <v>7031</v>
      </c>
      <c r="C3019" s="5" t="s">
        <v>252</v>
      </c>
      <c r="D3019" s="5" t="s">
        <v>253</v>
      </c>
      <c r="E3019" s="5" t="s">
        <v>1959</v>
      </c>
      <c r="F3019" s="9" t="s">
        <v>1960</v>
      </c>
      <c r="G3019" s="9">
        <v>738</v>
      </c>
      <c r="H3019" s="5" t="s">
        <v>20</v>
      </c>
      <c r="I3019" s="5" t="s">
        <v>7032</v>
      </c>
      <c r="J3019" s="12" t="str">
        <f>HYPERLINK("https://www.boe.es/gazeta/dias/1807/07/18/pdfs/GMD-1807-63E.pdf#page=4","Abrir facsímil")</f>
        <v>Abrir facsímil</v>
      </c>
      <c r="K3019" s="15" t="s">
        <v>22</v>
      </c>
    </row>
    <row r="3020" spans="1:11" ht="42" customHeight="1">
      <c r="A3020" s="4" t="s">
        <v>7030</v>
      </c>
      <c r="B3020" s="5" t="s">
        <v>7031</v>
      </c>
      <c r="C3020" s="5" t="s">
        <v>34</v>
      </c>
      <c r="D3020" s="5" t="s">
        <v>35</v>
      </c>
      <c r="E3020" s="5" t="s">
        <v>245</v>
      </c>
      <c r="F3020" s="9">
        <v>97</v>
      </c>
      <c r="G3020" s="9">
        <v>1123</v>
      </c>
      <c r="H3020" s="5" t="s">
        <v>20</v>
      </c>
      <c r="I3020" s="5" t="s">
        <v>7033</v>
      </c>
      <c r="J3020" s="12" t="str">
        <f>HYPERLINK("https://www.boe.es/gazeta/dias/1807/10/30/pdfs/GMD-1807-97.pdf#page=3","Abrir facsímil")</f>
        <v>Abrir facsímil</v>
      </c>
      <c r="K3020" s="15" t="s">
        <v>22</v>
      </c>
    </row>
    <row r="3021" spans="1:11" ht="42" customHeight="1">
      <c r="A3021" s="4" t="s">
        <v>7034</v>
      </c>
      <c r="B3021" s="5" t="s">
        <v>7035</v>
      </c>
      <c r="C3021" s="5" t="s">
        <v>24</v>
      </c>
      <c r="D3021" s="5" t="s">
        <v>18</v>
      </c>
      <c r="E3021" s="5" t="s">
        <v>46</v>
      </c>
      <c r="F3021" s="9">
        <v>78</v>
      </c>
      <c r="G3021" s="9">
        <v>907</v>
      </c>
      <c r="H3021" s="5" t="s">
        <v>20</v>
      </c>
      <c r="I3021" s="5" t="s">
        <v>7036</v>
      </c>
      <c r="J3021" s="12" t="str">
        <f>HYPERLINK("https://www.boe.es/gazeta/dias/1807/09/01/pdfs/GMD-1807-78.pdf#page=11","Abrir facsímil")</f>
        <v>Abrir facsímil</v>
      </c>
      <c r="K3021" s="15" t="s">
        <v>22</v>
      </c>
    </row>
    <row r="3022" spans="1:11" ht="42" customHeight="1">
      <c r="A3022" s="4" t="s">
        <v>7037</v>
      </c>
      <c r="B3022" s="5" t="s">
        <v>7038</v>
      </c>
      <c r="C3022" s="5" t="s">
        <v>24</v>
      </c>
      <c r="D3022" s="5" t="s">
        <v>18</v>
      </c>
      <c r="E3022" s="5" t="s">
        <v>426</v>
      </c>
      <c r="F3022" s="9">
        <v>93</v>
      </c>
      <c r="G3022" s="9">
        <v>1082</v>
      </c>
      <c r="H3022" s="5" t="s">
        <v>20</v>
      </c>
      <c r="I3022" s="5" t="s">
        <v>7039</v>
      </c>
      <c r="J3022" s="12" t="str">
        <f>HYPERLINK("https://www.boe.es/gazeta/dias/1807/10/16/pdfs/GMD-1807-93.pdf#page=10","Abrir facsímil")</f>
        <v>Abrir facsímil</v>
      </c>
      <c r="K3022" s="15" t="s">
        <v>22</v>
      </c>
    </row>
    <row r="3023" spans="1:11" ht="42" customHeight="1">
      <c r="A3023" s="4" t="s">
        <v>7040</v>
      </c>
      <c r="B3023" s="5" t="s">
        <v>7041</v>
      </c>
      <c r="C3023" s="5" t="s">
        <v>252</v>
      </c>
      <c r="D3023" s="5" t="s">
        <v>253</v>
      </c>
      <c r="E3023" s="5" t="s">
        <v>1959</v>
      </c>
      <c r="F3023" s="9" t="s">
        <v>1960</v>
      </c>
      <c r="G3023" s="9">
        <v>735</v>
      </c>
      <c r="H3023" s="5" t="s">
        <v>20</v>
      </c>
      <c r="I3023" s="5" t="s">
        <v>7042</v>
      </c>
      <c r="J3023" s="12" t="str">
        <f>HYPERLINK("https://www.boe.es/gazeta/dias/1807/07/18/pdfs/GMD-1807-63E.pdf#page=1","Abrir facsímil")</f>
        <v>Abrir facsímil</v>
      </c>
      <c r="K3023" s="15" t="s">
        <v>22</v>
      </c>
    </row>
    <row r="3024" spans="1:11" ht="42" customHeight="1">
      <c r="A3024" s="4" t="s">
        <v>7040</v>
      </c>
      <c r="B3024" s="5" t="s">
        <v>7041</v>
      </c>
      <c r="C3024" s="5" t="s">
        <v>252</v>
      </c>
      <c r="D3024" s="5" t="s">
        <v>253</v>
      </c>
      <c r="E3024" s="5" t="s">
        <v>1959</v>
      </c>
      <c r="F3024" s="9" t="s">
        <v>1960</v>
      </c>
      <c r="G3024" s="9">
        <v>736</v>
      </c>
      <c r="H3024" s="5" t="s">
        <v>20</v>
      </c>
      <c r="I3024" s="5" t="s">
        <v>7043</v>
      </c>
      <c r="J3024" s="12" t="str">
        <f>HYPERLINK("https://www.boe.es/gazeta/dias/1807/07/18/pdfs/GMD-1807-63E.pdf#page=2","Abrir facsímil")</f>
        <v>Abrir facsímil</v>
      </c>
      <c r="K3024" s="15" t="s">
        <v>22</v>
      </c>
    </row>
    <row r="3025" spans="1:11" ht="42" customHeight="1">
      <c r="A3025" s="4" t="s">
        <v>7044</v>
      </c>
      <c r="B3025" s="5" t="s">
        <v>7045</v>
      </c>
      <c r="C3025" s="5" t="s">
        <v>34</v>
      </c>
      <c r="D3025" s="5" t="s">
        <v>35</v>
      </c>
      <c r="E3025" s="5" t="s">
        <v>4686</v>
      </c>
      <c r="F3025" s="9" t="s">
        <v>4687</v>
      </c>
      <c r="G3025" s="9">
        <v>711</v>
      </c>
      <c r="H3025" s="5" t="s">
        <v>20</v>
      </c>
      <c r="I3025" s="5" t="s">
        <v>7046</v>
      </c>
      <c r="J3025" s="12" t="str">
        <f>HYPERLINK("https://www.boe.es/gazeta/dias/1807/07/13/pdfs/GMD-1807-60E.pdf#page=5","Abrir facsímil")</f>
        <v>Abrir facsímil</v>
      </c>
      <c r="K3025" s="15" t="s">
        <v>22</v>
      </c>
    </row>
    <row r="3026" spans="1:11" ht="42" customHeight="1">
      <c r="A3026" s="4" t="s">
        <v>7047</v>
      </c>
      <c r="B3026" s="5" t="s">
        <v>7048</v>
      </c>
      <c r="C3026" s="5" t="s">
        <v>49</v>
      </c>
      <c r="D3026" s="5" t="s">
        <v>50</v>
      </c>
      <c r="E3026" s="5" t="s">
        <v>123</v>
      </c>
      <c r="F3026" s="9">
        <v>70</v>
      </c>
      <c r="G3026" s="9">
        <v>802</v>
      </c>
      <c r="H3026" s="5" t="s">
        <v>20</v>
      </c>
      <c r="I3026" s="5" t="s">
        <v>7049</v>
      </c>
      <c r="J3026" s="12" t="str">
        <f>HYPERLINK("https://www.boe.es/gazeta/dias/1807/08/04/pdfs/GMD-1807-70.pdf#page=6","Abrir facsímil")</f>
        <v>Abrir facsímil</v>
      </c>
      <c r="K3026" s="15" t="s">
        <v>22</v>
      </c>
    </row>
    <row r="3027" spans="1:11" ht="42" customHeight="1">
      <c r="A3027" s="4" t="s">
        <v>7050</v>
      </c>
      <c r="B3027" s="5" t="s">
        <v>7050</v>
      </c>
      <c r="C3027" s="5" t="s">
        <v>34</v>
      </c>
      <c r="D3027" s="5" t="s">
        <v>35</v>
      </c>
      <c r="E3027" s="5" t="s">
        <v>567</v>
      </c>
      <c r="F3027" s="9">
        <v>55</v>
      </c>
      <c r="G3027" s="9">
        <v>654</v>
      </c>
      <c r="H3027" s="5" t="s">
        <v>20</v>
      </c>
      <c r="I3027" s="5" t="s">
        <v>7051</v>
      </c>
      <c r="J3027" s="12" t="str">
        <f>HYPERLINK("https://www.boe.es/gazeta/dias/1807/06/30/pdfs/GMD-1807-55.pdf#page=4","Abrir facsímil")</f>
        <v>Abrir facsímil</v>
      </c>
      <c r="K3027" s="15" t="s">
        <v>22</v>
      </c>
    </row>
    <row r="3028" spans="1:11" ht="42" customHeight="1">
      <c r="A3028" s="4" t="s">
        <v>7052</v>
      </c>
      <c r="B3028" s="5" t="s">
        <v>7053</v>
      </c>
      <c r="C3028" s="5" t="s">
        <v>28</v>
      </c>
      <c r="D3028" s="5" t="s">
        <v>29</v>
      </c>
      <c r="E3028" s="5" t="s">
        <v>793</v>
      </c>
      <c r="F3028" s="9">
        <v>87</v>
      </c>
      <c r="G3028" s="9">
        <v>1012</v>
      </c>
      <c r="H3028" s="5" t="s">
        <v>20</v>
      </c>
      <c r="I3028" s="5" t="s">
        <v>7054</v>
      </c>
      <c r="J3028" s="12" t="str">
        <f>HYPERLINK("https://www.boe.es/gazeta/dias/1807/09/29/pdfs/GMD-1807-87.pdf#page=12","Abrir facsímil")</f>
        <v>Abrir facsímil</v>
      </c>
      <c r="K3028" s="15" t="s">
        <v>22</v>
      </c>
    </row>
    <row r="3029" spans="1:11" ht="42" customHeight="1">
      <c r="A3029" s="4" t="s">
        <v>7055</v>
      </c>
      <c r="B3029" s="5" t="s">
        <v>7056</v>
      </c>
      <c r="C3029" s="5" t="s">
        <v>34</v>
      </c>
      <c r="D3029" s="5" t="s">
        <v>35</v>
      </c>
      <c r="E3029" s="5" t="s">
        <v>40</v>
      </c>
      <c r="F3029" s="9">
        <v>26</v>
      </c>
      <c r="G3029" s="9">
        <v>313</v>
      </c>
      <c r="H3029" s="5" t="s">
        <v>20</v>
      </c>
      <c r="I3029" s="5" t="s">
        <v>7057</v>
      </c>
      <c r="J3029" s="12" t="str">
        <f>HYPERLINK("https://www.boe.es/gazeta/dias/1807/03/20/pdfs/GMD-1807-26.pdf#page=9","Abrir facsímil")</f>
        <v>Abrir facsímil</v>
      </c>
      <c r="K3029" s="15" t="s">
        <v>22</v>
      </c>
    </row>
    <row r="3030" spans="1:11" ht="42" customHeight="1">
      <c r="A3030" s="4" t="s">
        <v>7058</v>
      </c>
      <c r="B3030" s="5" t="s">
        <v>7059</v>
      </c>
      <c r="C3030" s="5" t="s">
        <v>28</v>
      </c>
      <c r="D3030" s="5" t="s">
        <v>29</v>
      </c>
      <c r="E3030" s="5" t="s">
        <v>111</v>
      </c>
      <c r="F3030" s="9">
        <v>90</v>
      </c>
      <c r="G3030" s="9">
        <v>1046</v>
      </c>
      <c r="H3030" s="5" t="s">
        <v>20</v>
      </c>
      <c r="I3030" s="5" t="s">
        <v>7060</v>
      </c>
      <c r="J3030" s="12" t="str">
        <f>HYPERLINK("https://www.boe.es/gazeta/dias/1807/10/06/pdfs/GMD-1807-90.pdf#page=14","Abrir facsímil")</f>
        <v>Abrir facsímil</v>
      </c>
      <c r="K3030" s="15" t="s">
        <v>22</v>
      </c>
    </row>
    <row r="3031" spans="1:11" ht="42" customHeight="1">
      <c r="A3031" s="4" t="s">
        <v>7061</v>
      </c>
      <c r="B3031" s="5" t="s">
        <v>7061</v>
      </c>
      <c r="C3031" s="5" t="s">
        <v>34</v>
      </c>
      <c r="D3031" s="5" t="s">
        <v>35</v>
      </c>
      <c r="E3031" s="5" t="s">
        <v>62</v>
      </c>
      <c r="F3031" s="9">
        <v>68</v>
      </c>
      <c r="G3031" s="9">
        <v>781</v>
      </c>
      <c r="H3031" s="5" t="s">
        <v>20</v>
      </c>
      <c r="I3031" s="5" t="s">
        <v>7062</v>
      </c>
      <c r="J3031" s="12" t="str">
        <f>HYPERLINK("https://www.boe.es/gazeta/dias/1807/07/31/pdfs/GMD-1807-68.pdf#page=5","Abrir facsímil")</f>
        <v>Abrir facsímil</v>
      </c>
      <c r="K3031" s="15" t="s">
        <v>22</v>
      </c>
    </row>
    <row r="3032" spans="1:11" ht="42" customHeight="1">
      <c r="A3032" s="4" t="s">
        <v>7063</v>
      </c>
      <c r="B3032" s="5" t="s">
        <v>7063</v>
      </c>
      <c r="C3032" s="5" t="s">
        <v>34</v>
      </c>
      <c r="D3032" s="5" t="s">
        <v>35</v>
      </c>
      <c r="E3032" s="5" t="s">
        <v>321</v>
      </c>
      <c r="F3032" s="9">
        <v>75</v>
      </c>
      <c r="G3032" s="9">
        <v>867</v>
      </c>
      <c r="H3032" s="5" t="s">
        <v>20</v>
      </c>
      <c r="I3032" s="5" t="s">
        <v>7064</v>
      </c>
      <c r="J3032" s="12" t="str">
        <f>HYPERLINK("https://www.boe.es/gazeta/dias/1807/08/21/pdfs/GMD-1807-75.pdf#page=7","Abrir facsímil")</f>
        <v>Abrir facsímil</v>
      </c>
      <c r="K3032" s="15" t="s">
        <v>22</v>
      </c>
    </row>
    <row r="3033" spans="1:11" ht="42" customHeight="1">
      <c r="A3033" s="4" t="s">
        <v>7065</v>
      </c>
      <c r="B3033" s="5" t="s">
        <v>7065</v>
      </c>
      <c r="C3033" s="5" t="s">
        <v>49</v>
      </c>
      <c r="D3033" s="5" t="s">
        <v>50</v>
      </c>
      <c r="E3033" s="5" t="s">
        <v>321</v>
      </c>
      <c r="F3033" s="9">
        <v>75</v>
      </c>
      <c r="G3033" s="9">
        <v>866</v>
      </c>
      <c r="H3033" s="5" t="s">
        <v>20</v>
      </c>
      <c r="I3033" s="5" t="s">
        <v>7066</v>
      </c>
      <c r="J3033" s="12" t="str">
        <f>HYPERLINK("https://www.boe.es/gazeta/dias/1807/08/21/pdfs/GMD-1807-75.pdf#page=6","Abrir facsímil")</f>
        <v>Abrir facsímil</v>
      </c>
      <c r="K3033" s="15" t="s">
        <v>22</v>
      </c>
    </row>
    <row r="3034" spans="1:11" ht="42" customHeight="1">
      <c r="A3034" s="4" t="s">
        <v>7067</v>
      </c>
      <c r="B3034" s="5" t="s">
        <v>7068</v>
      </c>
      <c r="C3034" s="5" t="s">
        <v>34</v>
      </c>
      <c r="D3034" s="5" t="s">
        <v>35</v>
      </c>
      <c r="E3034" s="5" t="s">
        <v>478</v>
      </c>
      <c r="F3034" s="9">
        <v>30</v>
      </c>
      <c r="G3034" s="9">
        <v>357</v>
      </c>
      <c r="H3034" s="5" t="s">
        <v>20</v>
      </c>
      <c r="I3034" s="5" t="s">
        <v>7069</v>
      </c>
      <c r="J3034" s="12" t="str">
        <f>HYPERLINK("https://www.boe.es/gazeta/dias/1807/04/03/pdfs/GMD-1807-30.pdf#page=9","Abrir facsímil")</f>
        <v>Abrir facsímil</v>
      </c>
      <c r="K3034" s="15" t="s">
        <v>22</v>
      </c>
    </row>
    <row r="3035" spans="1:11" ht="42" customHeight="1">
      <c r="A3035" s="4" t="s">
        <v>7070</v>
      </c>
      <c r="B3035" s="5" t="s">
        <v>7071</v>
      </c>
      <c r="C3035" s="5" t="s">
        <v>17</v>
      </c>
      <c r="D3035" s="5" t="s">
        <v>18</v>
      </c>
      <c r="E3035" s="5" t="s">
        <v>62</v>
      </c>
      <c r="F3035" s="9">
        <v>68</v>
      </c>
      <c r="G3035" s="9">
        <v>786</v>
      </c>
      <c r="H3035" s="5" t="s">
        <v>20</v>
      </c>
      <c r="I3035" s="5" t="s">
        <v>7072</v>
      </c>
      <c r="J3035" s="12" t="str">
        <f>HYPERLINK("https://www.boe.es/gazeta/dias/1807/07/31/pdfs/GMD-1807-68.pdf#page=10","Abrir facsímil")</f>
        <v>Abrir facsímil</v>
      </c>
      <c r="K3035" s="15" t="s">
        <v>22</v>
      </c>
    </row>
    <row r="3036" spans="1:11" ht="42" customHeight="1">
      <c r="A3036" s="4" t="s">
        <v>7073</v>
      </c>
      <c r="B3036" s="5" t="s">
        <v>7074</v>
      </c>
      <c r="C3036" s="5" t="s">
        <v>17</v>
      </c>
      <c r="D3036" s="5" t="s">
        <v>18</v>
      </c>
      <c r="E3036" s="5" t="s">
        <v>309</v>
      </c>
      <c r="F3036" s="9">
        <v>107</v>
      </c>
      <c r="G3036" s="9">
        <v>1249</v>
      </c>
      <c r="H3036" s="5" t="s">
        <v>20</v>
      </c>
      <c r="I3036" s="5" t="s">
        <v>7075</v>
      </c>
      <c r="J3036" s="12" t="str">
        <f>HYPERLINK("https://www.boe.es/gazeta/dias/1807/12/01/pdfs/GMD-1807-107.pdf#page=9","Abrir facsímil")</f>
        <v>Abrir facsímil</v>
      </c>
      <c r="K3036" s="15" t="s">
        <v>22</v>
      </c>
    </row>
    <row r="3037" spans="1:11" ht="42" customHeight="1">
      <c r="A3037" s="4" t="s">
        <v>7076</v>
      </c>
      <c r="B3037" s="5" t="s">
        <v>7076</v>
      </c>
      <c r="C3037" s="5" t="s">
        <v>89</v>
      </c>
      <c r="D3037" s="5" t="s">
        <v>90</v>
      </c>
      <c r="E3037" s="5" t="s">
        <v>139</v>
      </c>
      <c r="F3037" s="9">
        <v>110</v>
      </c>
      <c r="G3037" s="9">
        <v>1287</v>
      </c>
      <c r="H3037" s="5" t="s">
        <v>20</v>
      </c>
      <c r="I3037" s="5" t="s">
        <v>7077</v>
      </c>
      <c r="J3037" s="12" t="str">
        <f>HYPERLINK("https://www.boe.es/gazeta/dias/1807/12/11/pdfs/GMD-1807-110.pdf#page=11","Abrir facsímil")</f>
        <v>Abrir facsímil</v>
      </c>
      <c r="K3037" s="15" t="s">
        <v>22</v>
      </c>
    </row>
    <row r="3038" spans="1:11" ht="42" customHeight="1">
      <c r="A3038" s="4" t="s">
        <v>7078</v>
      </c>
      <c r="B3038" s="5" t="s">
        <v>7078</v>
      </c>
      <c r="C3038" s="5" t="s">
        <v>89</v>
      </c>
      <c r="D3038" s="5" t="s">
        <v>90</v>
      </c>
      <c r="E3038" s="5" t="s">
        <v>149</v>
      </c>
      <c r="F3038" s="9">
        <v>38</v>
      </c>
      <c r="G3038" s="9">
        <v>456</v>
      </c>
      <c r="H3038" s="5" t="s">
        <v>20</v>
      </c>
      <c r="I3038" s="5" t="s">
        <v>7079</v>
      </c>
      <c r="J3038" s="12" t="str">
        <f>HYPERLINK("https://www.boe.es/gazeta/dias/1807/05/01/pdfs/GMD-1807-38.pdf#page=12","Abrir facsímil")</f>
        <v>Abrir facsímil</v>
      </c>
      <c r="K3038" s="15" t="s">
        <v>22</v>
      </c>
    </row>
    <row r="3039" spans="1:11" ht="42" customHeight="1">
      <c r="A3039" s="4" t="s">
        <v>7080</v>
      </c>
      <c r="B3039" s="5" t="s">
        <v>7080</v>
      </c>
      <c r="C3039" s="5" t="s">
        <v>49</v>
      </c>
      <c r="D3039" s="5" t="s">
        <v>50</v>
      </c>
      <c r="E3039" s="5" t="s">
        <v>65</v>
      </c>
      <c r="F3039" s="9">
        <v>52</v>
      </c>
      <c r="G3039" s="9">
        <v>612</v>
      </c>
      <c r="H3039" s="5" t="s">
        <v>20</v>
      </c>
      <c r="I3039" s="5" t="s">
        <v>7081</v>
      </c>
      <c r="J3039" s="12" t="str">
        <f>HYPERLINK("https://www.boe.es/gazeta/dias/1807/06/19/pdfs/GMD-1807-52.pdf#page=2","Abrir facsímil")</f>
        <v>Abrir facsímil</v>
      </c>
      <c r="K3039" s="15" t="s">
        <v>22</v>
      </c>
    </row>
    <row r="3040" spans="1:11" ht="42" customHeight="1">
      <c r="A3040" s="4" t="s">
        <v>7082</v>
      </c>
      <c r="B3040" s="5" t="s">
        <v>7083</v>
      </c>
      <c r="C3040" s="5" t="s">
        <v>24</v>
      </c>
      <c r="D3040" s="5" t="s">
        <v>18</v>
      </c>
      <c r="E3040" s="5" t="s">
        <v>441</v>
      </c>
      <c r="F3040" s="9">
        <v>92</v>
      </c>
      <c r="G3040" s="9">
        <v>1070</v>
      </c>
      <c r="H3040" s="5" t="s">
        <v>20</v>
      </c>
      <c r="I3040" s="5" t="s">
        <v>7084</v>
      </c>
      <c r="J3040" s="12" t="str">
        <f>HYPERLINK("https://www.boe.es/gazeta/dias/1807/10/13/pdfs/GMD-1807-92.pdf#page=10","Abrir facsímil")</f>
        <v>Abrir facsímil</v>
      </c>
      <c r="K3040" s="15" t="s">
        <v>22</v>
      </c>
    </row>
    <row r="3041" spans="1:11" ht="42" customHeight="1">
      <c r="A3041" s="4" t="s">
        <v>7085</v>
      </c>
      <c r="B3041" s="5" t="s">
        <v>7086</v>
      </c>
      <c r="C3041" s="5" t="s">
        <v>24</v>
      </c>
      <c r="D3041" s="5" t="s">
        <v>18</v>
      </c>
      <c r="E3041" s="5" t="s">
        <v>530</v>
      </c>
      <c r="F3041" s="9">
        <v>79</v>
      </c>
      <c r="G3041" s="9">
        <v>924</v>
      </c>
      <c r="H3041" s="5" t="s">
        <v>20</v>
      </c>
      <c r="I3041" s="5" t="s">
        <v>7087</v>
      </c>
      <c r="J3041" s="12" t="str">
        <f>HYPERLINK("https://www.boe.es/gazeta/dias/1807/09/04/pdfs/GMD-1807-79.pdf#page=16","Abrir facsímil")</f>
        <v>Abrir facsímil</v>
      </c>
      <c r="K3041" s="15" t="s">
        <v>22</v>
      </c>
    </row>
    <row r="3042" spans="1:11" ht="42" customHeight="1">
      <c r="A3042" s="4" t="s">
        <v>7088</v>
      </c>
      <c r="B3042" s="5" t="s">
        <v>7089</v>
      </c>
      <c r="C3042" s="5" t="s">
        <v>28</v>
      </c>
      <c r="D3042" s="5" t="s">
        <v>29</v>
      </c>
      <c r="E3042" s="5" t="s">
        <v>42</v>
      </c>
      <c r="F3042" s="9">
        <v>31</v>
      </c>
      <c r="G3042" s="9">
        <v>367</v>
      </c>
      <c r="H3042" s="5" t="s">
        <v>20</v>
      </c>
      <c r="I3042" s="5" t="s">
        <v>7090</v>
      </c>
      <c r="J3042" s="12" t="str">
        <f>HYPERLINK("https://www.boe.es/gazeta/dias/1807/04/07/pdfs/GMD-1807-31.pdf#page=7","Abrir facsímil")</f>
        <v>Abrir facsímil</v>
      </c>
      <c r="K3042" s="15" t="s">
        <v>22</v>
      </c>
    </row>
    <row r="3043" spans="1:11" ht="42" customHeight="1">
      <c r="A3043" s="4" t="s">
        <v>7091</v>
      </c>
      <c r="B3043" s="5" t="s">
        <v>7091</v>
      </c>
      <c r="C3043" s="5" t="s">
        <v>252</v>
      </c>
      <c r="D3043" s="5" t="s">
        <v>253</v>
      </c>
      <c r="E3043" s="5" t="s">
        <v>1187</v>
      </c>
      <c r="F3043" s="9" t="s">
        <v>1188</v>
      </c>
      <c r="G3043" s="9">
        <v>679</v>
      </c>
      <c r="H3043" s="5" t="s">
        <v>20</v>
      </c>
      <c r="I3043" s="5" t="s">
        <v>7092</v>
      </c>
      <c r="J3043" s="12" t="str">
        <f>HYPERLINK("https://www.boe.es/gazeta/dias/1807/07/04/pdfs/GMD-1807-57E.pdf#page=5","Abrir facsímil")</f>
        <v>Abrir facsímil</v>
      </c>
      <c r="K3043" s="15" t="s">
        <v>22</v>
      </c>
    </row>
    <row r="3044" spans="1:11" ht="42" customHeight="1">
      <c r="A3044" s="4" t="s">
        <v>7093</v>
      </c>
      <c r="B3044" s="5" t="s">
        <v>7094</v>
      </c>
      <c r="C3044" s="5" t="s">
        <v>28</v>
      </c>
      <c r="D3044" s="5" t="s">
        <v>29</v>
      </c>
      <c r="E3044" s="5" t="s">
        <v>441</v>
      </c>
      <c r="F3044" s="9">
        <v>92</v>
      </c>
      <c r="G3044" s="9">
        <v>1071</v>
      </c>
      <c r="H3044" s="5" t="s">
        <v>20</v>
      </c>
      <c r="I3044" s="5" t="s">
        <v>7095</v>
      </c>
      <c r="J3044" s="12" t="str">
        <f>HYPERLINK("https://www.boe.es/gazeta/dias/1807/10/13/pdfs/GMD-1807-92.pdf#page=11","Abrir facsímil")</f>
        <v>Abrir facsímil</v>
      </c>
      <c r="K3044" s="15" t="s">
        <v>22</v>
      </c>
    </row>
    <row r="3045" spans="1:11" ht="42" customHeight="1">
      <c r="A3045" s="4" t="s">
        <v>7096</v>
      </c>
      <c r="B3045" s="5" t="s">
        <v>7097</v>
      </c>
      <c r="C3045" s="5" t="s">
        <v>34</v>
      </c>
      <c r="D3045" s="5" t="s">
        <v>35</v>
      </c>
      <c r="E3045" s="5" t="s">
        <v>282</v>
      </c>
      <c r="F3045" s="9">
        <v>16</v>
      </c>
      <c r="G3045" s="9">
        <v>185</v>
      </c>
      <c r="H3045" s="5" t="s">
        <v>20</v>
      </c>
      <c r="I3045" s="5" t="s">
        <v>7098</v>
      </c>
      <c r="J3045" s="12" t="str">
        <f>HYPERLINK("https://www.boe.es/gazeta/dias/1807/02/17/pdfs/GMD-1807-16.pdf#page=9","Abrir facsímil")</f>
        <v>Abrir facsímil</v>
      </c>
      <c r="K3045" s="15" t="s">
        <v>22</v>
      </c>
    </row>
    <row r="3046" spans="1:11" ht="42" customHeight="1">
      <c r="A3046" s="4" t="s">
        <v>7099</v>
      </c>
      <c r="B3046" s="5" t="s">
        <v>7100</v>
      </c>
      <c r="C3046" s="5" t="s">
        <v>34</v>
      </c>
      <c r="D3046" s="5" t="s">
        <v>35</v>
      </c>
      <c r="E3046" s="5" t="s">
        <v>30</v>
      </c>
      <c r="F3046" s="9">
        <v>13</v>
      </c>
      <c r="G3046" s="9">
        <v>144</v>
      </c>
      <c r="H3046" s="5" t="s">
        <v>20</v>
      </c>
      <c r="I3046" s="5" t="s">
        <v>7101</v>
      </c>
      <c r="J3046" s="12" t="str">
        <f>HYPERLINK("https://www.boe.es/gazeta/dias/1807/02/06/pdfs/GMD-1807-13.pdf#page=4","Abrir facsímil")</f>
        <v>Abrir facsímil</v>
      </c>
      <c r="K3046" s="15" t="s">
        <v>22</v>
      </c>
    </row>
    <row r="3047" spans="1:11" ht="42" customHeight="1">
      <c r="A3047" s="4" t="s">
        <v>7102</v>
      </c>
      <c r="B3047" s="5" t="s">
        <v>7102</v>
      </c>
      <c r="C3047" s="5" t="s">
        <v>89</v>
      </c>
      <c r="D3047" s="5" t="s">
        <v>90</v>
      </c>
      <c r="E3047" s="5" t="s">
        <v>581</v>
      </c>
      <c r="F3047" s="9">
        <v>71</v>
      </c>
      <c r="G3047" s="9">
        <v>818</v>
      </c>
      <c r="H3047" s="5" t="s">
        <v>20</v>
      </c>
      <c r="I3047" s="5" t="s">
        <v>7103</v>
      </c>
      <c r="J3047" s="12" t="str">
        <f>HYPERLINK("https://www.boe.es/gazeta/dias/1807/08/07/pdfs/GMD-1807-71.pdf#page=10","Abrir facsímil")</f>
        <v>Abrir facsímil</v>
      </c>
      <c r="K3047" s="15" t="s">
        <v>22</v>
      </c>
    </row>
    <row r="3048" spans="1:11" ht="42" customHeight="1">
      <c r="A3048" s="4" t="s">
        <v>7104</v>
      </c>
      <c r="B3048" s="5" t="s">
        <v>7104</v>
      </c>
      <c r="C3048" s="5" t="s">
        <v>34</v>
      </c>
      <c r="D3048" s="5" t="s">
        <v>35</v>
      </c>
      <c r="E3048" s="5" t="s">
        <v>79</v>
      </c>
      <c r="F3048" s="9">
        <v>11</v>
      </c>
      <c r="G3048" s="9">
        <v>117</v>
      </c>
      <c r="H3048" s="5" t="s">
        <v>20</v>
      </c>
      <c r="I3048" s="5" t="s">
        <v>7105</v>
      </c>
      <c r="J3048" s="12" t="str">
        <f>HYPERLINK("https://www.boe.es/gazeta/dias/1807/01/30/pdfs/GMD-1807-11.pdf#page=1","Abrir facsímil")</f>
        <v>Abrir facsímil</v>
      </c>
      <c r="K3048" s="15" t="s">
        <v>22</v>
      </c>
    </row>
    <row r="3049" spans="1:11" ht="42" customHeight="1">
      <c r="A3049" s="4" t="s">
        <v>7106</v>
      </c>
      <c r="B3049" s="5" t="s">
        <v>7106</v>
      </c>
      <c r="C3049" s="5" t="s">
        <v>49</v>
      </c>
      <c r="D3049" s="5" t="s">
        <v>50</v>
      </c>
      <c r="E3049" s="5" t="s">
        <v>282</v>
      </c>
      <c r="F3049" s="9">
        <v>16</v>
      </c>
      <c r="G3049" s="9">
        <v>178</v>
      </c>
      <c r="H3049" s="5" t="s">
        <v>20</v>
      </c>
      <c r="I3049" s="5" t="s">
        <v>7107</v>
      </c>
      <c r="J3049" s="12" t="str">
        <f>HYPERLINK("https://www.boe.es/gazeta/dias/1807/02/17/pdfs/GMD-1807-16.pdf#page=2","Abrir facsímil")</f>
        <v>Abrir facsímil</v>
      </c>
      <c r="K3049" s="15" t="s">
        <v>22</v>
      </c>
    </row>
    <row r="3050" spans="1:11" ht="42" customHeight="1">
      <c r="A3050" s="4" t="s">
        <v>7108</v>
      </c>
      <c r="B3050" s="5" t="s">
        <v>7108</v>
      </c>
      <c r="C3050" s="5" t="s">
        <v>28</v>
      </c>
      <c r="D3050" s="5" t="s">
        <v>29</v>
      </c>
      <c r="E3050" s="5" t="s">
        <v>530</v>
      </c>
      <c r="F3050" s="9">
        <v>79</v>
      </c>
      <c r="G3050" s="9">
        <v>919</v>
      </c>
      <c r="H3050" s="5" t="s">
        <v>20</v>
      </c>
      <c r="I3050" s="5" t="s">
        <v>7109</v>
      </c>
      <c r="J3050" s="12" t="str">
        <f>HYPERLINK("https://www.boe.es/gazeta/dias/1807/09/04/pdfs/GMD-1807-79.pdf#page=11","Abrir facsímil")</f>
        <v>Abrir facsímil</v>
      </c>
      <c r="K3050" s="15" t="s">
        <v>22</v>
      </c>
    </row>
    <row r="3051" spans="1:11" ht="42" customHeight="1">
      <c r="A3051" s="4" t="s">
        <v>7108</v>
      </c>
      <c r="B3051" s="5" t="s">
        <v>7108</v>
      </c>
      <c r="C3051" s="5" t="s">
        <v>28</v>
      </c>
      <c r="D3051" s="5" t="s">
        <v>29</v>
      </c>
      <c r="E3051" s="5" t="s">
        <v>530</v>
      </c>
      <c r="F3051" s="9">
        <v>79</v>
      </c>
      <c r="G3051" s="9">
        <v>920</v>
      </c>
      <c r="H3051" s="5" t="s">
        <v>20</v>
      </c>
      <c r="I3051" s="5" t="s">
        <v>7110</v>
      </c>
      <c r="J3051" s="12" t="str">
        <f>HYPERLINK("https://www.boe.es/gazeta/dias/1807/09/04/pdfs/GMD-1807-79.pdf#page=12","Abrir facsímil")</f>
        <v>Abrir facsímil</v>
      </c>
      <c r="K3051" s="15" t="s">
        <v>22</v>
      </c>
    </row>
    <row r="3052" spans="1:11" ht="42" customHeight="1">
      <c r="A3052" s="4" t="s">
        <v>7111</v>
      </c>
      <c r="B3052" s="5" t="s">
        <v>7111</v>
      </c>
      <c r="C3052" s="5" t="s">
        <v>252</v>
      </c>
      <c r="D3052" s="5" t="s">
        <v>253</v>
      </c>
      <c r="E3052" s="5" t="s">
        <v>1187</v>
      </c>
      <c r="F3052" s="9" t="s">
        <v>1188</v>
      </c>
      <c r="G3052" s="9">
        <v>679</v>
      </c>
      <c r="H3052" s="5" t="s">
        <v>20</v>
      </c>
      <c r="I3052" s="5" t="s">
        <v>7112</v>
      </c>
      <c r="J3052" s="12" t="str">
        <f>HYPERLINK("https://www.boe.es/gazeta/dias/1807/07/04/pdfs/GMD-1807-57E.pdf#page=5","Abrir facsímil")</f>
        <v>Abrir facsímil</v>
      </c>
      <c r="K3052" s="15" t="s">
        <v>22</v>
      </c>
    </row>
    <row r="3053" spans="1:11" ht="42" customHeight="1">
      <c r="A3053" s="4" t="s">
        <v>7113</v>
      </c>
      <c r="B3053" s="5" t="s">
        <v>7113</v>
      </c>
      <c r="C3053" s="5" t="s">
        <v>49</v>
      </c>
      <c r="D3053" s="5" t="s">
        <v>50</v>
      </c>
      <c r="E3053" s="5" t="s">
        <v>305</v>
      </c>
      <c r="F3053" s="9">
        <v>53</v>
      </c>
      <c r="G3053" s="9">
        <v>631</v>
      </c>
      <c r="H3053" s="5" t="s">
        <v>20</v>
      </c>
      <c r="I3053" s="5" t="s">
        <v>7114</v>
      </c>
      <c r="J3053" s="12" t="str">
        <f>HYPERLINK("https://www.boe.es/gazeta/dias/1807/06/23/pdfs/GMD-1807-53.pdf#page=5","Abrir facsímil")</f>
        <v>Abrir facsímil</v>
      </c>
      <c r="K3053" s="15" t="s">
        <v>22</v>
      </c>
    </row>
    <row r="3054" spans="1:11" ht="42" customHeight="1">
      <c r="A3054" s="4" t="s">
        <v>7113</v>
      </c>
      <c r="B3054" s="5" t="s">
        <v>7113</v>
      </c>
      <c r="C3054" s="5" t="s">
        <v>49</v>
      </c>
      <c r="D3054" s="5" t="s">
        <v>50</v>
      </c>
      <c r="E3054" s="5" t="s">
        <v>305</v>
      </c>
      <c r="F3054" s="9">
        <v>53</v>
      </c>
      <c r="G3054" s="9">
        <v>632</v>
      </c>
      <c r="H3054" s="5" t="s">
        <v>20</v>
      </c>
      <c r="I3054" s="5" t="s">
        <v>7115</v>
      </c>
      <c r="J3054" s="12" t="str">
        <f>HYPERLINK("https://www.boe.es/gazeta/dias/1807/06/23/pdfs/GMD-1807-53.pdf#page=6","Abrir facsímil")</f>
        <v>Abrir facsímil</v>
      </c>
      <c r="K3054" s="15" t="s">
        <v>22</v>
      </c>
    </row>
    <row r="3055" spans="1:11" ht="42" customHeight="1">
      <c r="A3055" s="4" t="s">
        <v>7116</v>
      </c>
      <c r="B3055" s="5" t="s">
        <v>7117</v>
      </c>
      <c r="C3055" s="5" t="s">
        <v>252</v>
      </c>
      <c r="D3055" s="5" t="s">
        <v>253</v>
      </c>
      <c r="E3055" s="5" t="s">
        <v>534</v>
      </c>
      <c r="F3055" s="9" t="s">
        <v>535</v>
      </c>
      <c r="G3055" s="9">
        <v>100</v>
      </c>
      <c r="H3055" s="5" t="s">
        <v>20</v>
      </c>
      <c r="I3055" s="5" t="s">
        <v>7118</v>
      </c>
      <c r="J3055" s="12" t="str">
        <f>HYPERLINK("https://www.boe.es/gazeta/dias/1807/01/24/pdfs/GMD-1807-9E.pdf#page=4","Abrir facsímil")</f>
        <v>Abrir facsímil</v>
      </c>
      <c r="K3055" s="15" t="s">
        <v>22</v>
      </c>
    </row>
    <row r="3056" spans="1:11" ht="42" customHeight="1">
      <c r="A3056" s="4" t="s">
        <v>7116</v>
      </c>
      <c r="B3056" s="5" t="s">
        <v>7117</v>
      </c>
      <c r="C3056" s="5" t="s">
        <v>49</v>
      </c>
      <c r="D3056" s="5" t="s">
        <v>50</v>
      </c>
      <c r="E3056" s="5" t="s">
        <v>79</v>
      </c>
      <c r="F3056" s="9">
        <v>11</v>
      </c>
      <c r="G3056" s="9">
        <v>122</v>
      </c>
      <c r="H3056" s="5" t="s">
        <v>20</v>
      </c>
      <c r="I3056" s="5" t="s">
        <v>7119</v>
      </c>
      <c r="J3056" s="12" t="str">
        <f>HYPERLINK("https://www.boe.es/gazeta/dias/1807/01/30/pdfs/GMD-1807-11.pdf#page=6","Abrir facsímil")</f>
        <v>Abrir facsímil</v>
      </c>
      <c r="K3056" s="15" t="s">
        <v>22</v>
      </c>
    </row>
    <row r="3057" spans="1:11" ht="42" customHeight="1">
      <c r="A3057" s="4" t="s">
        <v>7120</v>
      </c>
      <c r="B3057" s="5" t="s">
        <v>7121</v>
      </c>
      <c r="C3057" s="5" t="s">
        <v>24</v>
      </c>
      <c r="D3057" s="5" t="s">
        <v>18</v>
      </c>
      <c r="E3057" s="5" t="s">
        <v>390</v>
      </c>
      <c r="F3057" s="9">
        <v>24</v>
      </c>
      <c r="G3057" s="9">
        <v>290</v>
      </c>
      <c r="H3057" s="5" t="s">
        <v>20</v>
      </c>
      <c r="I3057" s="5" t="s">
        <v>7122</v>
      </c>
      <c r="J3057" s="12" t="str">
        <f>HYPERLINK("https://www.boe.es/gazeta/dias/1807/03/13/pdfs/GMD-1807-24.pdf#page=14","Abrir facsímil")</f>
        <v>Abrir facsímil</v>
      </c>
      <c r="K3057" s="15" t="s">
        <v>22</v>
      </c>
    </row>
    <row r="3058" spans="1:11" ht="42" customHeight="1">
      <c r="A3058" s="4" t="s">
        <v>7123</v>
      </c>
      <c r="B3058" s="5" t="s">
        <v>7124</v>
      </c>
      <c r="C3058" s="5" t="s">
        <v>28</v>
      </c>
      <c r="D3058" s="5" t="s">
        <v>29</v>
      </c>
      <c r="E3058" s="5" t="s">
        <v>183</v>
      </c>
      <c r="F3058" s="9">
        <v>1</v>
      </c>
      <c r="G3058" s="9">
        <v>10</v>
      </c>
      <c r="H3058" s="5" t="s">
        <v>20</v>
      </c>
      <c r="I3058" s="5" t="s">
        <v>7125</v>
      </c>
      <c r="J3058" s="12" t="str">
        <f>HYPERLINK("https://www.boe.es/gazeta/dias/1807/01/02/pdfs/GMD-1807-1.pdf#page=10","Abrir facsímil")</f>
        <v>Abrir facsímil</v>
      </c>
      <c r="K3058" s="15" t="s">
        <v>22</v>
      </c>
    </row>
    <row r="3059" spans="1:11" ht="42" customHeight="1">
      <c r="A3059" s="4" t="s">
        <v>7126</v>
      </c>
      <c r="B3059" s="5" t="s">
        <v>7127</v>
      </c>
      <c r="C3059" s="5" t="s">
        <v>49</v>
      </c>
      <c r="D3059" s="5" t="s">
        <v>50</v>
      </c>
      <c r="E3059" s="5" t="s">
        <v>183</v>
      </c>
      <c r="F3059" s="9">
        <v>1</v>
      </c>
      <c r="G3059" s="9">
        <v>9</v>
      </c>
      <c r="H3059" s="5" t="s">
        <v>20</v>
      </c>
      <c r="I3059" s="5" t="s">
        <v>7128</v>
      </c>
      <c r="J3059" s="12" t="str">
        <f>HYPERLINK("https://www.boe.es/gazeta/dias/1807/01/02/pdfs/GMD-1807-1.pdf#page=9","Abrir facsímil")</f>
        <v>Abrir facsímil</v>
      </c>
      <c r="K3059" s="15" t="s">
        <v>22</v>
      </c>
    </row>
    <row r="3060" spans="1:11" ht="42" customHeight="1">
      <c r="A3060" s="4" t="s">
        <v>7129</v>
      </c>
      <c r="B3060" s="5" t="s">
        <v>7130</v>
      </c>
      <c r="C3060" s="5" t="s">
        <v>28</v>
      </c>
      <c r="D3060" s="5" t="s">
        <v>29</v>
      </c>
      <c r="E3060" s="5" t="s">
        <v>1076</v>
      </c>
      <c r="F3060" s="9">
        <v>96</v>
      </c>
      <c r="G3060" s="9">
        <v>1119</v>
      </c>
      <c r="H3060" s="5" t="s">
        <v>20</v>
      </c>
      <c r="I3060" s="5" t="s">
        <v>7131</v>
      </c>
      <c r="J3060" s="12" t="str">
        <f>HYPERLINK("https://www.boe.es/gazeta/dias/1807/10/27/pdfs/GMD-1807-96.pdf#page=11","Abrir facsímil")</f>
        <v>Abrir facsímil</v>
      </c>
      <c r="K3060" s="15" t="s">
        <v>22</v>
      </c>
    </row>
    <row r="3061" spans="1:11" ht="42" customHeight="1">
      <c r="A3061" s="4" t="s">
        <v>7132</v>
      </c>
      <c r="B3061" s="5" t="s">
        <v>7132</v>
      </c>
      <c r="C3061" s="5" t="s">
        <v>49</v>
      </c>
      <c r="D3061" s="5" t="s">
        <v>50</v>
      </c>
      <c r="E3061" s="5" t="s">
        <v>444</v>
      </c>
      <c r="F3061" s="9">
        <v>95</v>
      </c>
      <c r="G3061" s="9">
        <v>1097</v>
      </c>
      <c r="H3061" s="5" t="s">
        <v>20</v>
      </c>
      <c r="I3061" s="5" t="s">
        <v>7133</v>
      </c>
      <c r="J3061" s="12" t="str">
        <f>HYPERLINK("https://www.boe.es/gazeta/dias/1807/10/23/pdfs/GMD-1807-95.pdf#page=1","Abrir facsímil")</f>
        <v>Abrir facsímil</v>
      </c>
      <c r="K3061" s="15" t="s">
        <v>22</v>
      </c>
    </row>
    <row r="3062" spans="1:11" ht="42" customHeight="1">
      <c r="A3062" s="4" t="s">
        <v>7134</v>
      </c>
      <c r="B3062" s="5" t="s">
        <v>7135</v>
      </c>
      <c r="C3062" s="5" t="s">
        <v>252</v>
      </c>
      <c r="D3062" s="5" t="s">
        <v>253</v>
      </c>
      <c r="E3062" s="5" t="s">
        <v>534</v>
      </c>
      <c r="F3062" s="9" t="s">
        <v>535</v>
      </c>
      <c r="G3062" s="9">
        <v>101</v>
      </c>
      <c r="H3062" s="5" t="s">
        <v>20</v>
      </c>
      <c r="I3062" s="5" t="s">
        <v>7136</v>
      </c>
      <c r="J3062" s="12" t="str">
        <f>HYPERLINK("https://www.boe.es/gazeta/dias/1807/01/24/pdfs/GMD-1807-9E.pdf#page=5","Abrir facsímil")</f>
        <v>Abrir facsímil</v>
      </c>
      <c r="K3062" s="15" t="s">
        <v>22</v>
      </c>
    </row>
    <row r="3063" spans="1:11" ht="42" customHeight="1">
      <c r="A3063" s="4" t="s">
        <v>7134</v>
      </c>
      <c r="B3063" s="5" t="s">
        <v>7135</v>
      </c>
      <c r="C3063" s="5" t="s">
        <v>49</v>
      </c>
      <c r="D3063" s="5" t="s">
        <v>50</v>
      </c>
      <c r="E3063" s="5" t="s">
        <v>79</v>
      </c>
      <c r="F3063" s="9">
        <v>11</v>
      </c>
      <c r="G3063" s="9">
        <v>122</v>
      </c>
      <c r="H3063" s="5" t="s">
        <v>20</v>
      </c>
      <c r="I3063" s="5" t="s">
        <v>7137</v>
      </c>
      <c r="J3063" s="12" t="str">
        <f>HYPERLINK("https://www.boe.es/gazeta/dias/1807/01/30/pdfs/GMD-1807-11.pdf#page=6","Abrir facsímil")</f>
        <v>Abrir facsímil</v>
      </c>
      <c r="K3063" s="15" t="s">
        <v>22</v>
      </c>
    </row>
    <row r="3064" spans="1:11" ht="42" customHeight="1">
      <c r="A3064" s="4" t="s">
        <v>7134</v>
      </c>
      <c r="B3064" s="5" t="s">
        <v>7135</v>
      </c>
      <c r="C3064" s="5" t="s">
        <v>49</v>
      </c>
      <c r="D3064" s="5" t="s">
        <v>50</v>
      </c>
      <c r="E3064" s="5" t="s">
        <v>86</v>
      </c>
      <c r="F3064" s="9">
        <v>12</v>
      </c>
      <c r="G3064" s="9">
        <v>130</v>
      </c>
      <c r="H3064" s="5" t="s">
        <v>20</v>
      </c>
      <c r="I3064" s="5" t="s">
        <v>7138</v>
      </c>
      <c r="J3064" s="12" t="str">
        <f>HYPERLINK("https://www.boe.es/gazeta/dias/1807/02/03/pdfs/GMD-1807-12.pdf#page=2","Abrir facsímil")</f>
        <v>Abrir facsímil</v>
      </c>
      <c r="K3064" s="15" t="s">
        <v>22</v>
      </c>
    </row>
    <row r="3065" spans="1:11" ht="42" customHeight="1">
      <c r="A3065" s="4" t="s">
        <v>7134</v>
      </c>
      <c r="B3065" s="5" t="s">
        <v>7135</v>
      </c>
      <c r="C3065" s="5" t="s">
        <v>49</v>
      </c>
      <c r="D3065" s="5" t="s">
        <v>50</v>
      </c>
      <c r="E3065" s="5" t="s">
        <v>572</v>
      </c>
      <c r="F3065" s="9">
        <v>14</v>
      </c>
      <c r="G3065" s="9">
        <v>157</v>
      </c>
      <c r="H3065" s="5" t="s">
        <v>20</v>
      </c>
      <c r="I3065" s="5" t="s">
        <v>7139</v>
      </c>
      <c r="J3065" s="12" t="str">
        <f>HYPERLINK("https://www.boe.es/gazeta/dias/1807/02/10/pdfs/GMD-1807-14.pdf#page=5","Abrir facsímil")</f>
        <v>Abrir facsímil</v>
      </c>
      <c r="K3065" s="15" t="s">
        <v>22</v>
      </c>
    </row>
    <row r="3066" spans="1:11" ht="42" customHeight="1">
      <c r="A3066" s="4" t="s">
        <v>7140</v>
      </c>
      <c r="B3066" s="5" t="s">
        <v>7141</v>
      </c>
      <c r="C3066" s="5" t="s">
        <v>89</v>
      </c>
      <c r="D3066" s="5" t="s">
        <v>90</v>
      </c>
      <c r="E3066" s="5" t="s">
        <v>1076</v>
      </c>
      <c r="F3066" s="9">
        <v>96</v>
      </c>
      <c r="G3066" s="9">
        <v>1120</v>
      </c>
      <c r="H3066" s="5" t="s">
        <v>20</v>
      </c>
      <c r="I3066" s="5" t="s">
        <v>7142</v>
      </c>
      <c r="J3066" s="12" t="str">
        <f>HYPERLINK("https://www.boe.es/gazeta/dias/1807/10/27/pdfs/GMD-1807-96.pdf#page=12","Abrir facsímil")</f>
        <v>Abrir facsímil</v>
      </c>
      <c r="K3066" s="15" t="s">
        <v>22</v>
      </c>
    </row>
    <row r="3067" spans="1:11" ht="42" customHeight="1">
      <c r="A3067" s="4" t="s">
        <v>7143</v>
      </c>
      <c r="B3067" s="5" t="s">
        <v>7143</v>
      </c>
      <c r="C3067" s="5" t="s">
        <v>49</v>
      </c>
      <c r="D3067" s="5" t="s">
        <v>50</v>
      </c>
      <c r="E3067" s="5" t="s">
        <v>426</v>
      </c>
      <c r="F3067" s="9">
        <v>93</v>
      </c>
      <c r="G3067" s="9">
        <v>1073</v>
      </c>
      <c r="H3067" s="5" t="s">
        <v>20</v>
      </c>
      <c r="I3067" s="5" t="s">
        <v>7144</v>
      </c>
      <c r="J3067" s="12" t="str">
        <f>HYPERLINK("https://www.boe.es/gazeta/dias/1807/10/16/pdfs/GMD-1807-93.pdf#page=1","Abrir facsímil")</f>
        <v>Abrir facsímil</v>
      </c>
      <c r="K3067" s="15" t="s">
        <v>22</v>
      </c>
    </row>
    <row r="3068" spans="1:11" ht="42" customHeight="1">
      <c r="A3068" s="4" t="s">
        <v>7145</v>
      </c>
      <c r="B3068" s="5" t="s">
        <v>7146</v>
      </c>
      <c r="C3068" s="5" t="s">
        <v>28</v>
      </c>
      <c r="D3068" s="5" t="s">
        <v>29</v>
      </c>
      <c r="E3068" s="5" t="s">
        <v>215</v>
      </c>
      <c r="F3068" s="9">
        <v>5</v>
      </c>
      <c r="G3068" s="9">
        <v>50</v>
      </c>
      <c r="H3068" s="5" t="s">
        <v>20</v>
      </c>
      <c r="I3068" s="5" t="s">
        <v>7147</v>
      </c>
      <c r="J3068" s="12" t="str">
        <f>HYPERLINK("https://www.boe.es/gazeta/dias/1807/01/16/pdfs/GMD-1807-5.pdf#page=6","Abrir facsímil")</f>
        <v>Abrir facsímil</v>
      </c>
      <c r="K3068" s="15" t="s">
        <v>22</v>
      </c>
    </row>
    <row r="3069" spans="1:11" ht="42" customHeight="1">
      <c r="A3069" s="4" t="s">
        <v>7148</v>
      </c>
      <c r="B3069" s="5" t="s">
        <v>7148</v>
      </c>
      <c r="C3069" s="5" t="s">
        <v>49</v>
      </c>
      <c r="D3069" s="5" t="s">
        <v>50</v>
      </c>
      <c r="E3069" s="5" t="s">
        <v>754</v>
      </c>
      <c r="F3069" s="9">
        <v>103</v>
      </c>
      <c r="G3069" s="9">
        <v>1197</v>
      </c>
      <c r="H3069" s="5" t="s">
        <v>20</v>
      </c>
      <c r="I3069" s="5" t="s">
        <v>7149</v>
      </c>
      <c r="J3069" s="12" t="str">
        <f>HYPERLINK("https://www.boe.es/gazeta/dias/1807/11/20/pdfs/GMD-1807-103.pdf#page=5","Abrir facsímil")</f>
        <v>Abrir facsímil</v>
      </c>
      <c r="K3069" s="15" t="s">
        <v>22</v>
      </c>
    </row>
    <row r="3070" spans="1:11" ht="42" customHeight="1">
      <c r="A3070" s="4" t="s">
        <v>7150</v>
      </c>
      <c r="B3070" s="5" t="s">
        <v>7151</v>
      </c>
      <c r="C3070" s="5" t="s">
        <v>28</v>
      </c>
      <c r="D3070" s="5" t="s">
        <v>29</v>
      </c>
      <c r="E3070" s="5" t="s">
        <v>62</v>
      </c>
      <c r="F3070" s="9">
        <v>68</v>
      </c>
      <c r="G3070" s="9">
        <v>784</v>
      </c>
      <c r="H3070" s="5" t="s">
        <v>20</v>
      </c>
      <c r="I3070" s="5" t="s">
        <v>7152</v>
      </c>
      <c r="J3070" s="12" t="str">
        <f>HYPERLINK("https://www.boe.es/gazeta/dias/1807/07/31/pdfs/GMD-1807-68.pdf#page=8","Abrir facsímil")</f>
        <v>Abrir facsímil</v>
      </c>
      <c r="K3070" s="15" t="s">
        <v>22</v>
      </c>
    </row>
    <row r="3071" spans="1:11" ht="42" customHeight="1">
      <c r="A3071" s="4" t="s">
        <v>7153</v>
      </c>
      <c r="B3071" s="5" t="s">
        <v>7154</v>
      </c>
      <c r="C3071" s="5" t="s">
        <v>34</v>
      </c>
      <c r="D3071" s="5" t="s">
        <v>35</v>
      </c>
      <c r="E3071" s="5" t="s">
        <v>86</v>
      </c>
      <c r="F3071" s="9">
        <v>12</v>
      </c>
      <c r="G3071" s="9">
        <v>134</v>
      </c>
      <c r="H3071" s="5" t="s">
        <v>20</v>
      </c>
      <c r="I3071" s="5" t="s">
        <v>7155</v>
      </c>
      <c r="J3071" s="12" t="str">
        <f>HYPERLINK("https://www.boe.es/gazeta/dias/1807/02/03/pdfs/GMD-1807-12.pdf#page=6","Abrir facsímil")</f>
        <v>Abrir facsímil</v>
      </c>
      <c r="K3071" s="15" t="s">
        <v>22</v>
      </c>
    </row>
    <row r="3072" spans="1:11" ht="42" customHeight="1">
      <c r="A3072" s="4" t="s">
        <v>7156</v>
      </c>
      <c r="B3072" s="5" t="s">
        <v>7157</v>
      </c>
      <c r="C3072" s="5" t="s">
        <v>28</v>
      </c>
      <c r="D3072" s="5" t="s">
        <v>29</v>
      </c>
      <c r="E3072" s="5" t="s">
        <v>152</v>
      </c>
      <c r="F3072" s="9">
        <v>61</v>
      </c>
      <c r="G3072" s="9">
        <v>724</v>
      </c>
      <c r="H3072" s="5" t="s">
        <v>20</v>
      </c>
      <c r="I3072" s="5" t="s">
        <v>7158</v>
      </c>
      <c r="J3072" s="12" t="str">
        <f>HYPERLINK("https://www.boe.es/gazeta/dias/1807/07/14/pdfs/GMD-1807-61.pdf#page=10","Abrir facsímil")</f>
        <v>Abrir facsímil</v>
      </c>
      <c r="K3072" s="15" t="s">
        <v>22</v>
      </c>
    </row>
    <row r="3073" spans="1:11" ht="42" customHeight="1">
      <c r="A3073" s="4" t="s">
        <v>7159</v>
      </c>
      <c r="B3073" s="5" t="s">
        <v>7160</v>
      </c>
      <c r="C3073" s="5" t="s">
        <v>17</v>
      </c>
      <c r="D3073" s="5" t="s">
        <v>18</v>
      </c>
      <c r="E3073" s="5" t="s">
        <v>259</v>
      </c>
      <c r="F3073" s="9">
        <v>3</v>
      </c>
      <c r="G3073" s="9">
        <v>31</v>
      </c>
      <c r="H3073" s="5" t="s">
        <v>20</v>
      </c>
      <c r="I3073" s="5" t="s">
        <v>7161</v>
      </c>
      <c r="J3073" s="12" t="str">
        <f>HYPERLINK("https://www.boe.es/gazeta/dias/1807/01/09/pdfs/GMD-1807-3.pdf#page=11","Abrir facsímil")</f>
        <v>Abrir facsímil</v>
      </c>
      <c r="K3073" s="15" t="s">
        <v>22</v>
      </c>
    </row>
    <row r="3074" spans="1:11" ht="42" customHeight="1">
      <c r="A3074" s="4" t="s">
        <v>7162</v>
      </c>
      <c r="B3074" s="5" t="s">
        <v>7163</v>
      </c>
      <c r="C3074" s="5" t="s">
        <v>24</v>
      </c>
      <c r="D3074" s="5" t="s">
        <v>18</v>
      </c>
      <c r="E3074" s="5" t="s">
        <v>221</v>
      </c>
      <c r="F3074" s="9">
        <v>73</v>
      </c>
      <c r="G3074" s="9">
        <v>846</v>
      </c>
      <c r="H3074" s="5" t="s">
        <v>20</v>
      </c>
      <c r="I3074" s="5" t="s">
        <v>7164</v>
      </c>
      <c r="J3074" s="12" t="str">
        <f>HYPERLINK("https://www.boe.es/gazeta/dias/1807/08/14/pdfs/GMD-1807-73.pdf#page=10","Abrir facsímil")</f>
        <v>Abrir facsímil</v>
      </c>
      <c r="K3074" s="15" t="s">
        <v>22</v>
      </c>
    </row>
    <row r="3075" spans="1:11" ht="42" customHeight="1">
      <c r="A3075" s="4" t="s">
        <v>7165</v>
      </c>
      <c r="B3075" s="5" t="s">
        <v>7165</v>
      </c>
      <c r="C3075" s="5" t="s">
        <v>49</v>
      </c>
      <c r="D3075" s="5" t="s">
        <v>50</v>
      </c>
      <c r="E3075" s="5" t="s">
        <v>426</v>
      </c>
      <c r="F3075" s="9">
        <v>93</v>
      </c>
      <c r="G3075" s="9">
        <v>1075</v>
      </c>
      <c r="H3075" s="5" t="s">
        <v>20</v>
      </c>
      <c r="I3075" s="5" t="s">
        <v>7166</v>
      </c>
      <c r="J3075" s="12" t="str">
        <f>HYPERLINK("https://www.boe.es/gazeta/dias/1807/10/16/pdfs/GMD-1807-93.pdf#page=3","Abrir facsímil")</f>
        <v>Abrir facsímil</v>
      </c>
      <c r="K3075" s="15" t="s">
        <v>22</v>
      </c>
    </row>
    <row r="3076" spans="1:11" ht="42" customHeight="1">
      <c r="A3076" s="4" t="s">
        <v>7167</v>
      </c>
      <c r="B3076" s="5" t="s">
        <v>7168</v>
      </c>
      <c r="C3076" s="5" t="s">
        <v>34</v>
      </c>
      <c r="D3076" s="5" t="s">
        <v>35</v>
      </c>
      <c r="E3076" s="5" t="s">
        <v>296</v>
      </c>
      <c r="F3076" s="9">
        <v>102</v>
      </c>
      <c r="G3076" s="9">
        <v>1189</v>
      </c>
      <c r="H3076" s="5" t="s">
        <v>20</v>
      </c>
      <c r="I3076" s="5" t="s">
        <v>7169</v>
      </c>
      <c r="J3076" s="12" t="str">
        <f>HYPERLINK("https://www.boe.es/gazeta/dias/1807/11/17/pdfs/GMD-1807-102.pdf#page=9","Abrir facsímil")</f>
        <v>Abrir facsímil</v>
      </c>
      <c r="K3076" s="15" t="s">
        <v>22</v>
      </c>
    </row>
    <row r="3077" spans="1:11" ht="42" customHeight="1">
      <c r="A3077" s="4" t="s">
        <v>7170</v>
      </c>
      <c r="B3077" s="5" t="s">
        <v>7171</v>
      </c>
      <c r="C3077" s="5" t="s">
        <v>89</v>
      </c>
      <c r="D3077" s="5" t="s">
        <v>90</v>
      </c>
      <c r="E3077" s="5" t="s">
        <v>1456</v>
      </c>
      <c r="F3077" s="9">
        <v>98</v>
      </c>
      <c r="G3077" s="9">
        <v>1144</v>
      </c>
      <c r="H3077" s="5" t="s">
        <v>20</v>
      </c>
      <c r="I3077" s="5" t="s">
        <v>7172</v>
      </c>
      <c r="J3077" s="12" t="str">
        <f>HYPERLINK("https://www.boe.es/gazeta/dias/1807/11/03/pdfs/GMD-1807-98.pdf#page=12","Abrir facsímil")</f>
        <v>Abrir facsímil</v>
      </c>
      <c r="K3077" s="15" t="s">
        <v>22</v>
      </c>
    </row>
    <row r="3078" spans="1:11" ht="42" customHeight="1">
      <c r="A3078" s="4" t="s">
        <v>7173</v>
      </c>
      <c r="B3078" s="5" t="s">
        <v>7173</v>
      </c>
      <c r="C3078" s="5" t="s">
        <v>34</v>
      </c>
      <c r="D3078" s="5" t="s">
        <v>35</v>
      </c>
      <c r="E3078" s="5" t="s">
        <v>1076</v>
      </c>
      <c r="F3078" s="9">
        <v>96</v>
      </c>
      <c r="G3078" s="9">
        <v>1112</v>
      </c>
      <c r="H3078" s="5" t="s">
        <v>20</v>
      </c>
      <c r="I3078" s="5" t="s">
        <v>7174</v>
      </c>
      <c r="J3078" s="12" t="str">
        <f>HYPERLINK("https://www.boe.es/gazeta/dias/1807/10/27/pdfs/GMD-1807-96.pdf#page=4","Abrir facsímil")</f>
        <v>Abrir facsímil</v>
      </c>
      <c r="K3078" s="15" t="s">
        <v>22</v>
      </c>
    </row>
    <row r="3079" spans="1:11" ht="42" customHeight="1">
      <c r="A3079" s="4" t="s">
        <v>7175</v>
      </c>
      <c r="B3079" s="5" t="s">
        <v>7176</v>
      </c>
      <c r="C3079" s="5" t="s">
        <v>34</v>
      </c>
      <c r="D3079" s="5" t="s">
        <v>35</v>
      </c>
      <c r="E3079" s="5" t="s">
        <v>464</v>
      </c>
      <c r="F3079" s="9">
        <v>18</v>
      </c>
      <c r="G3079" s="9">
        <v>213</v>
      </c>
      <c r="H3079" s="5" t="s">
        <v>20</v>
      </c>
      <c r="I3079" s="5" t="s">
        <v>7177</v>
      </c>
      <c r="J3079" s="12" t="str">
        <f>HYPERLINK("https://www.boe.es/gazeta/dias/1807/02/24/pdfs/GMD-1807-18.pdf#page=13","Abrir facsímil")</f>
        <v>Abrir facsímil</v>
      </c>
      <c r="K3079" s="15" t="s">
        <v>22</v>
      </c>
    </row>
    <row r="3080" spans="1:11" ht="42" customHeight="1">
      <c r="A3080" s="4" t="s">
        <v>7175</v>
      </c>
      <c r="B3080" s="5" t="s">
        <v>7176</v>
      </c>
      <c r="C3080" s="5" t="s">
        <v>34</v>
      </c>
      <c r="D3080" s="5" t="s">
        <v>35</v>
      </c>
      <c r="E3080" s="5" t="s">
        <v>62</v>
      </c>
      <c r="F3080" s="9">
        <v>68</v>
      </c>
      <c r="G3080" s="9">
        <v>784</v>
      </c>
      <c r="H3080" s="5" t="s">
        <v>20</v>
      </c>
      <c r="I3080" s="5" t="s">
        <v>7178</v>
      </c>
      <c r="J3080" s="12" t="str">
        <f>HYPERLINK("https://www.boe.es/gazeta/dias/1807/07/31/pdfs/GMD-1807-68.pdf#page=8","Abrir facsímil")</f>
        <v>Abrir facsímil</v>
      </c>
      <c r="K3080" s="15" t="s">
        <v>22</v>
      </c>
    </row>
    <row r="3081" spans="1:11" ht="42" customHeight="1">
      <c r="A3081" s="4" t="s">
        <v>7179</v>
      </c>
      <c r="B3081" s="5" t="s">
        <v>7180</v>
      </c>
      <c r="C3081" s="5" t="s">
        <v>34</v>
      </c>
      <c r="D3081" s="5" t="s">
        <v>35</v>
      </c>
      <c r="E3081" s="5" t="s">
        <v>106</v>
      </c>
      <c r="F3081" s="9">
        <v>39</v>
      </c>
      <c r="G3081" s="9">
        <v>465</v>
      </c>
      <c r="H3081" s="5" t="s">
        <v>20</v>
      </c>
      <c r="I3081" s="5" t="s">
        <v>7181</v>
      </c>
      <c r="J3081" s="12" t="str">
        <f>HYPERLINK("https://www.boe.es/gazeta/dias/1807/05/05/pdfs/GMD-1807-39.pdf#page=7","Abrir facsímil")</f>
        <v>Abrir facsímil</v>
      </c>
      <c r="K3081" s="15" t="s">
        <v>22</v>
      </c>
    </row>
    <row r="3082" spans="1:11" ht="42" customHeight="1">
      <c r="A3082" s="4" t="s">
        <v>7182</v>
      </c>
      <c r="B3082" s="5" t="s">
        <v>7183</v>
      </c>
      <c r="C3082" s="5" t="s">
        <v>28</v>
      </c>
      <c r="D3082" s="5" t="s">
        <v>29</v>
      </c>
      <c r="E3082" s="5" t="s">
        <v>183</v>
      </c>
      <c r="F3082" s="9">
        <v>1</v>
      </c>
      <c r="G3082" s="9">
        <v>10</v>
      </c>
      <c r="H3082" s="5" t="s">
        <v>20</v>
      </c>
      <c r="I3082" s="5" t="s">
        <v>7184</v>
      </c>
      <c r="J3082" s="12" t="str">
        <f>HYPERLINK("https://www.boe.es/gazeta/dias/1807/01/02/pdfs/GMD-1807-1.pdf#page=10","Abrir facsímil")</f>
        <v>Abrir facsímil</v>
      </c>
      <c r="K3082" s="15" t="s">
        <v>22</v>
      </c>
    </row>
    <row r="3083" spans="1:11" ht="42" customHeight="1">
      <c r="A3083" s="4" t="s">
        <v>7185</v>
      </c>
      <c r="B3083" s="5" t="s">
        <v>7185</v>
      </c>
      <c r="C3083" s="5" t="s">
        <v>252</v>
      </c>
      <c r="D3083" s="5" t="s">
        <v>253</v>
      </c>
      <c r="E3083" s="5" t="s">
        <v>534</v>
      </c>
      <c r="F3083" s="9" t="s">
        <v>535</v>
      </c>
      <c r="G3083" s="9">
        <v>102</v>
      </c>
      <c r="H3083" s="5" t="s">
        <v>20</v>
      </c>
      <c r="I3083" s="5" t="s">
        <v>7186</v>
      </c>
      <c r="J3083" s="12" t="str">
        <f>HYPERLINK("https://www.boe.es/gazeta/dias/1807/01/24/pdfs/GMD-1807-9E.pdf#page=6","Abrir facsímil")</f>
        <v>Abrir facsímil</v>
      </c>
      <c r="K3083" s="15" t="s">
        <v>22</v>
      </c>
    </row>
    <row r="3084" spans="1:11" ht="42" customHeight="1">
      <c r="A3084" s="4" t="s">
        <v>7187</v>
      </c>
      <c r="B3084" s="5" t="s">
        <v>7188</v>
      </c>
      <c r="C3084" s="5" t="s">
        <v>17</v>
      </c>
      <c r="D3084" s="5" t="s">
        <v>18</v>
      </c>
      <c r="E3084" s="5" t="s">
        <v>123</v>
      </c>
      <c r="F3084" s="9">
        <v>70</v>
      </c>
      <c r="G3084" s="9">
        <v>806</v>
      </c>
      <c r="H3084" s="5" t="s">
        <v>20</v>
      </c>
      <c r="I3084" s="5" t="s">
        <v>7189</v>
      </c>
      <c r="J3084" s="12" t="str">
        <f>HYPERLINK("https://www.boe.es/gazeta/dias/1807/08/04/pdfs/GMD-1807-70.pdf#page=10","Abrir facsímil")</f>
        <v>Abrir facsímil</v>
      </c>
      <c r="K3084" s="15" t="s">
        <v>22</v>
      </c>
    </row>
    <row r="3085" spans="1:11" ht="42" customHeight="1">
      <c r="A3085" s="4" t="s">
        <v>7190</v>
      </c>
      <c r="B3085" s="5" t="s">
        <v>7191</v>
      </c>
      <c r="C3085" s="5" t="s">
        <v>89</v>
      </c>
      <c r="D3085" s="5" t="s">
        <v>90</v>
      </c>
      <c r="E3085" s="5" t="s">
        <v>51</v>
      </c>
      <c r="F3085" s="9">
        <v>62</v>
      </c>
      <c r="G3085" s="9">
        <v>734</v>
      </c>
      <c r="H3085" s="5" t="s">
        <v>20</v>
      </c>
      <c r="I3085" s="5" t="s">
        <v>7192</v>
      </c>
      <c r="J3085" s="12" t="str">
        <f>HYPERLINK("https://www.boe.es/gazeta/dias/1807/07/17/pdfs/GMD-1807-62.pdf#page=8","Abrir facsímil")</f>
        <v>Abrir facsímil</v>
      </c>
      <c r="K3085" s="15" t="s">
        <v>22</v>
      </c>
    </row>
    <row r="3086" spans="1:11" ht="42" customHeight="1">
      <c r="A3086" s="4" t="s">
        <v>7193</v>
      </c>
      <c r="B3086" s="5" t="s">
        <v>7194</v>
      </c>
      <c r="C3086" s="5" t="s">
        <v>28</v>
      </c>
      <c r="D3086" s="5" t="s">
        <v>29</v>
      </c>
      <c r="E3086" s="5" t="s">
        <v>361</v>
      </c>
      <c r="F3086" s="9">
        <v>113</v>
      </c>
      <c r="G3086" s="9">
        <v>1324</v>
      </c>
      <c r="H3086" s="5" t="s">
        <v>20</v>
      </c>
      <c r="I3086" s="5" t="s">
        <v>7195</v>
      </c>
      <c r="J3086" s="12" t="str">
        <f>HYPERLINK("https://www.boe.es/gazeta/dias/1807/12/22/pdfs/GMD-1807-113.pdf#page=12","Abrir facsímil")</f>
        <v>Abrir facsímil</v>
      </c>
      <c r="K3086" s="15" t="s">
        <v>22</v>
      </c>
    </row>
    <row r="3087" spans="1:11" ht="42" customHeight="1">
      <c r="A3087" s="4" t="s">
        <v>7196</v>
      </c>
      <c r="B3087" s="5" t="s">
        <v>7196</v>
      </c>
      <c r="C3087" s="5" t="s">
        <v>34</v>
      </c>
      <c r="D3087" s="5" t="s">
        <v>35</v>
      </c>
      <c r="E3087" s="5" t="s">
        <v>167</v>
      </c>
      <c r="F3087" s="9">
        <v>77</v>
      </c>
      <c r="G3087" s="9">
        <v>890</v>
      </c>
      <c r="H3087" s="5" t="s">
        <v>20</v>
      </c>
      <c r="I3087" s="5" t="s">
        <v>7197</v>
      </c>
      <c r="J3087" s="12" t="str">
        <f>HYPERLINK("https://www.boe.es/gazeta/dias/1807/08/28/pdfs/GMD-1807-77.pdf#page=6","Abrir facsímil")</f>
        <v>Abrir facsímil</v>
      </c>
      <c r="K3087" s="15" t="s">
        <v>22</v>
      </c>
    </row>
    <row r="3088" spans="1:11" ht="42" customHeight="1">
      <c r="A3088" s="4" t="s">
        <v>7198</v>
      </c>
      <c r="B3088" s="5" t="s">
        <v>7198</v>
      </c>
      <c r="C3088" s="5" t="s">
        <v>24</v>
      </c>
      <c r="D3088" s="5" t="s">
        <v>18</v>
      </c>
      <c r="E3088" s="5" t="s">
        <v>447</v>
      </c>
      <c r="F3088" s="9">
        <v>65</v>
      </c>
      <c r="G3088" s="9">
        <v>754</v>
      </c>
      <c r="H3088" s="5" t="s">
        <v>20</v>
      </c>
      <c r="I3088" s="5" t="s">
        <v>7199</v>
      </c>
      <c r="J3088" s="12" t="str">
        <f>HYPERLINK("https://www.boe.es/gazeta/dias/1807/07/24/pdfs/GMD-1807-65.pdf#page=4","Abrir facsímil")</f>
        <v>Abrir facsímil</v>
      </c>
      <c r="K3088" s="15" t="s">
        <v>22</v>
      </c>
    </row>
    <row r="3089" spans="1:11" ht="42" customHeight="1">
      <c r="A3089" s="4" t="s">
        <v>7200</v>
      </c>
      <c r="B3089" s="5" t="s">
        <v>7200</v>
      </c>
      <c r="C3089" s="5" t="s">
        <v>34</v>
      </c>
      <c r="D3089" s="5" t="s">
        <v>35</v>
      </c>
      <c r="E3089" s="5" t="s">
        <v>530</v>
      </c>
      <c r="F3089" s="9">
        <v>79</v>
      </c>
      <c r="G3089" s="9">
        <v>918</v>
      </c>
      <c r="H3089" s="5" t="s">
        <v>20</v>
      </c>
      <c r="I3089" s="5" t="s">
        <v>7201</v>
      </c>
      <c r="J3089" s="12" t="str">
        <f>HYPERLINK("https://www.boe.es/gazeta/dias/1807/09/04/pdfs/GMD-1807-79.pdf#page=10","Abrir facsímil")</f>
        <v>Abrir facsímil</v>
      </c>
      <c r="K3089" s="15" t="s">
        <v>22</v>
      </c>
    </row>
    <row r="3090" spans="1:11" ht="42" customHeight="1">
      <c r="A3090" s="4" t="s">
        <v>7202</v>
      </c>
      <c r="B3090" s="5" t="s">
        <v>7202</v>
      </c>
      <c r="C3090" s="5" t="s">
        <v>28</v>
      </c>
      <c r="D3090" s="5" t="s">
        <v>29</v>
      </c>
      <c r="E3090" s="5" t="s">
        <v>567</v>
      </c>
      <c r="F3090" s="9">
        <v>55</v>
      </c>
      <c r="G3090" s="9">
        <v>659</v>
      </c>
      <c r="H3090" s="5" t="s">
        <v>20</v>
      </c>
      <c r="I3090" s="5" t="s">
        <v>7203</v>
      </c>
      <c r="J3090" s="12" t="str">
        <f>HYPERLINK("https://www.boe.es/gazeta/dias/1807/06/30/pdfs/GMD-1807-55.pdf#page=9","Abrir facsímil")</f>
        <v>Abrir facsímil</v>
      </c>
      <c r="K3090" s="15" t="s">
        <v>22</v>
      </c>
    </row>
    <row r="3091" spans="1:11" ht="42" customHeight="1">
      <c r="A3091" s="4" t="s">
        <v>7204</v>
      </c>
      <c r="B3091" s="5" t="s">
        <v>7204</v>
      </c>
      <c r="C3091" s="5" t="s">
        <v>34</v>
      </c>
      <c r="D3091" s="5" t="s">
        <v>35</v>
      </c>
      <c r="E3091" s="5" t="s">
        <v>183</v>
      </c>
      <c r="F3091" s="9">
        <v>1</v>
      </c>
      <c r="G3091" s="9">
        <v>11</v>
      </c>
      <c r="H3091" s="5" t="s">
        <v>20</v>
      </c>
      <c r="I3091" s="5" t="s">
        <v>7205</v>
      </c>
      <c r="J3091" s="12" t="str">
        <f>HYPERLINK("https://www.boe.es/gazeta/dias/1807/01/02/pdfs/GMD-1807-1.pdf#page=11","Abrir facsímil")</f>
        <v>Abrir facsímil</v>
      </c>
      <c r="K3091" s="15" t="s">
        <v>22</v>
      </c>
    </row>
    <row r="3092" spans="1:11" ht="42" customHeight="1">
      <c r="A3092" s="4" t="s">
        <v>7206</v>
      </c>
      <c r="B3092" s="5" t="s">
        <v>7206</v>
      </c>
      <c r="C3092" s="5" t="s">
        <v>34</v>
      </c>
      <c r="D3092" s="5" t="s">
        <v>35</v>
      </c>
      <c r="E3092" s="5" t="s">
        <v>441</v>
      </c>
      <c r="F3092" s="9">
        <v>92</v>
      </c>
      <c r="G3092" s="9">
        <v>1068</v>
      </c>
      <c r="H3092" s="5" t="s">
        <v>20</v>
      </c>
      <c r="I3092" s="5" t="s">
        <v>7207</v>
      </c>
      <c r="J3092" s="12" t="str">
        <f>HYPERLINK("https://www.boe.es/gazeta/dias/1807/10/13/pdfs/GMD-1807-92.pdf#page=8","Abrir facsímil")</f>
        <v>Abrir facsímil</v>
      </c>
      <c r="K3092" s="15" t="s">
        <v>22</v>
      </c>
    </row>
    <row r="3093" spans="1:11" ht="42" customHeight="1">
      <c r="A3093" s="4" t="s">
        <v>7208</v>
      </c>
      <c r="B3093" s="5" t="s">
        <v>7209</v>
      </c>
      <c r="C3093" s="5" t="s">
        <v>34</v>
      </c>
      <c r="D3093" s="5" t="s">
        <v>35</v>
      </c>
      <c r="E3093" s="5" t="s">
        <v>620</v>
      </c>
      <c r="F3093" s="9">
        <v>84</v>
      </c>
      <c r="G3093" s="9">
        <v>981</v>
      </c>
      <c r="H3093" s="5" t="s">
        <v>20</v>
      </c>
      <c r="I3093" s="5" t="s">
        <v>7210</v>
      </c>
      <c r="J3093" s="12" t="str">
        <f>HYPERLINK("https://www.boe.es/gazeta/dias/1807/09/22/pdfs/GMD-1807-84.pdf#page=9","Abrir facsímil")</f>
        <v>Abrir facsímil</v>
      </c>
      <c r="K3093" s="15" t="s">
        <v>22</v>
      </c>
    </row>
    <row r="3094" spans="1:11" ht="42" customHeight="1">
      <c r="A3094" s="4" t="s">
        <v>7211</v>
      </c>
      <c r="B3094" s="5" t="s">
        <v>7212</v>
      </c>
      <c r="C3094" s="5" t="s">
        <v>34</v>
      </c>
      <c r="D3094" s="5" t="s">
        <v>35</v>
      </c>
      <c r="E3094" s="5" t="s">
        <v>314</v>
      </c>
      <c r="F3094" s="9" t="s">
        <v>315</v>
      </c>
      <c r="G3094" s="9">
        <v>1220</v>
      </c>
      <c r="H3094" s="5" t="s">
        <v>20</v>
      </c>
      <c r="I3094" s="5" t="s">
        <v>7213</v>
      </c>
      <c r="J3094" s="12" t="str">
        <f>HYPERLINK("https://www.boe.es/gazeta/dias/1807/11/26/pdfs/GMD-1807-105E.pdf#page=4","Abrir facsímil")</f>
        <v>Abrir facsímil</v>
      </c>
      <c r="K3094" s="15" t="s">
        <v>22</v>
      </c>
    </row>
    <row r="3095" spans="1:11" ht="42" customHeight="1">
      <c r="A3095" s="4" t="s">
        <v>7214</v>
      </c>
      <c r="B3095" s="5" t="s">
        <v>7215</v>
      </c>
      <c r="C3095" s="5" t="s">
        <v>34</v>
      </c>
      <c r="D3095" s="5" t="s">
        <v>35</v>
      </c>
      <c r="E3095" s="5" t="s">
        <v>65</v>
      </c>
      <c r="F3095" s="9">
        <v>52</v>
      </c>
      <c r="G3095" s="9">
        <v>622</v>
      </c>
      <c r="H3095" s="5" t="s">
        <v>20</v>
      </c>
      <c r="I3095" s="5" t="s">
        <v>7216</v>
      </c>
      <c r="J3095" s="12" t="str">
        <f>HYPERLINK("https://www.boe.es/gazeta/dias/1807/06/19/pdfs/GMD-1807-52.pdf#page=12","Abrir facsímil")</f>
        <v>Abrir facsímil</v>
      </c>
      <c r="K3095" s="15" t="s">
        <v>22</v>
      </c>
    </row>
    <row r="3096" spans="1:11" ht="42" customHeight="1">
      <c r="A3096" s="4" t="s">
        <v>7217</v>
      </c>
      <c r="B3096" s="5" t="s">
        <v>7217</v>
      </c>
      <c r="C3096" s="5" t="s">
        <v>28</v>
      </c>
      <c r="D3096" s="5" t="s">
        <v>29</v>
      </c>
      <c r="E3096" s="5" t="s">
        <v>346</v>
      </c>
      <c r="F3096" s="9">
        <v>21</v>
      </c>
      <c r="G3096" s="9">
        <v>245</v>
      </c>
      <c r="H3096" s="5" t="s">
        <v>20</v>
      </c>
      <c r="I3096" s="5" t="s">
        <v>7218</v>
      </c>
      <c r="J3096" s="12" t="str">
        <f>HYPERLINK("https://www.boe.es/gazeta/dias/1807/03/03/pdfs/GMD-1807-21.pdf#page=9","Abrir facsímil")</f>
        <v>Abrir facsímil</v>
      </c>
      <c r="K3096" s="15" t="s">
        <v>22</v>
      </c>
    </row>
    <row r="3097" spans="1:11" ht="42" customHeight="1">
      <c r="A3097" s="4" t="s">
        <v>7219</v>
      </c>
      <c r="B3097" s="5" t="s">
        <v>7220</v>
      </c>
      <c r="C3097" s="5" t="s">
        <v>28</v>
      </c>
      <c r="D3097" s="5" t="s">
        <v>29</v>
      </c>
      <c r="E3097" s="5" t="s">
        <v>208</v>
      </c>
      <c r="F3097" s="9">
        <v>42</v>
      </c>
      <c r="G3097" s="9">
        <v>505</v>
      </c>
      <c r="H3097" s="5" t="s">
        <v>20</v>
      </c>
      <c r="I3097" s="5" t="s">
        <v>7221</v>
      </c>
      <c r="J3097" s="12" t="str">
        <f>HYPERLINK("https://www.boe.es/gazeta/dias/1807/05/15/pdfs/GMD-1807-42.pdf#page=11","Abrir facsímil")</f>
        <v>Abrir facsímil</v>
      </c>
      <c r="K3097" s="15" t="s">
        <v>22</v>
      </c>
    </row>
    <row r="3098" spans="1:11" ht="42" customHeight="1">
      <c r="A3098" s="4" t="s">
        <v>7222</v>
      </c>
      <c r="B3098" s="5" t="s">
        <v>7223</v>
      </c>
      <c r="C3098" s="5" t="s">
        <v>17</v>
      </c>
      <c r="D3098" s="5" t="s">
        <v>18</v>
      </c>
      <c r="E3098" s="5" t="s">
        <v>418</v>
      </c>
      <c r="F3098" s="9">
        <v>4</v>
      </c>
      <c r="G3098" s="9">
        <v>38</v>
      </c>
      <c r="H3098" s="5" t="s">
        <v>20</v>
      </c>
      <c r="I3098" s="5" t="s">
        <v>7224</v>
      </c>
      <c r="J3098" s="12" t="str">
        <f>HYPERLINK("https://www.boe.es/gazeta/dias/1807/01/13/pdfs/GMD-1807-4.pdf#page=6","Abrir facsímil")</f>
        <v>Abrir facsímil</v>
      </c>
      <c r="K3098" s="15" t="s">
        <v>22</v>
      </c>
    </row>
    <row r="3099" spans="1:11" ht="42" customHeight="1">
      <c r="A3099" s="4" t="s">
        <v>7225</v>
      </c>
      <c r="B3099" s="5" t="s">
        <v>7225</v>
      </c>
      <c r="C3099" s="5" t="s">
        <v>49</v>
      </c>
      <c r="D3099" s="5" t="s">
        <v>50</v>
      </c>
      <c r="E3099" s="5" t="s">
        <v>575</v>
      </c>
      <c r="F3099" s="9">
        <v>115</v>
      </c>
      <c r="G3099" s="9">
        <v>1336</v>
      </c>
      <c r="H3099" s="5" t="s">
        <v>20</v>
      </c>
      <c r="I3099" s="5" t="s">
        <v>7226</v>
      </c>
      <c r="J3099" s="12" t="str">
        <f>HYPERLINK("https://www.boe.es/gazeta/dias/1807/12/29/pdfs/GMD-1807-115.pdf#page=4","Abrir facsímil")</f>
        <v>Abrir facsímil</v>
      </c>
      <c r="K3099" s="15" t="s">
        <v>22</v>
      </c>
    </row>
    <row r="3100" spans="1:11" ht="42" customHeight="1">
      <c r="A3100" s="4" t="s">
        <v>7227</v>
      </c>
      <c r="B3100" s="5" t="s">
        <v>7227</v>
      </c>
      <c r="C3100" s="5" t="s">
        <v>49</v>
      </c>
      <c r="D3100" s="5" t="s">
        <v>50</v>
      </c>
      <c r="E3100" s="5" t="s">
        <v>46</v>
      </c>
      <c r="F3100" s="9">
        <v>78</v>
      </c>
      <c r="G3100" s="9">
        <v>898</v>
      </c>
      <c r="H3100" s="5" t="s">
        <v>20</v>
      </c>
      <c r="I3100" s="5" t="s">
        <v>7228</v>
      </c>
      <c r="J3100" s="12" t="str">
        <f>HYPERLINK("https://www.boe.es/gazeta/dias/1807/09/01/pdfs/GMD-1807-78.pdf#page=2","Abrir facsímil")</f>
        <v>Abrir facsímil</v>
      </c>
      <c r="K3100" s="15" t="s">
        <v>22</v>
      </c>
    </row>
    <row r="3101" spans="1:11" ht="42" customHeight="1">
      <c r="A3101" s="4" t="s">
        <v>7229</v>
      </c>
      <c r="B3101" s="5" t="s">
        <v>7230</v>
      </c>
      <c r="C3101" s="5" t="s">
        <v>49</v>
      </c>
      <c r="D3101" s="5" t="s">
        <v>50</v>
      </c>
      <c r="E3101" s="5" t="s">
        <v>393</v>
      </c>
      <c r="F3101" s="9">
        <v>15</v>
      </c>
      <c r="G3101" s="9">
        <v>169</v>
      </c>
      <c r="H3101" s="5" t="s">
        <v>20</v>
      </c>
      <c r="I3101" s="5" t="s">
        <v>7231</v>
      </c>
      <c r="J3101" s="12" t="str">
        <f>HYPERLINK("https://www.boe.es/gazeta/dias/1807/02/13/pdfs/GMD-1807-15.pdf#page=5","Abrir facsímil")</f>
        <v>Abrir facsímil</v>
      </c>
      <c r="K3101" s="15" t="s">
        <v>22</v>
      </c>
    </row>
    <row r="3102" spans="1:11" ht="42" customHeight="1">
      <c r="A3102" s="4" t="s">
        <v>7232</v>
      </c>
      <c r="B3102" s="5" t="s">
        <v>7232</v>
      </c>
      <c r="C3102" s="5" t="s">
        <v>28</v>
      </c>
      <c r="D3102" s="5" t="s">
        <v>29</v>
      </c>
      <c r="E3102" s="5" t="s">
        <v>120</v>
      </c>
      <c r="F3102" s="9">
        <v>10</v>
      </c>
      <c r="G3102" s="9">
        <v>110</v>
      </c>
      <c r="H3102" s="5" t="s">
        <v>20</v>
      </c>
      <c r="I3102" s="5" t="s">
        <v>7233</v>
      </c>
      <c r="J3102" s="12" t="str">
        <f>HYPERLINK("https://www.boe.es/gazeta/dias/1807/01/27/pdfs/GMD-1807-10.pdf#page=6","Abrir facsímil")</f>
        <v>Abrir facsímil</v>
      </c>
      <c r="K3102" s="15" t="s">
        <v>22</v>
      </c>
    </row>
    <row r="3103" spans="1:11" ht="42" customHeight="1">
      <c r="A3103" s="4" t="s">
        <v>7234</v>
      </c>
      <c r="B3103" s="5" t="s">
        <v>7235</v>
      </c>
      <c r="C3103" s="5" t="s">
        <v>34</v>
      </c>
      <c r="D3103" s="5" t="s">
        <v>35</v>
      </c>
      <c r="E3103" s="5" t="s">
        <v>296</v>
      </c>
      <c r="F3103" s="9">
        <v>102</v>
      </c>
      <c r="G3103" s="9">
        <v>1189</v>
      </c>
      <c r="H3103" s="5" t="s">
        <v>20</v>
      </c>
      <c r="I3103" s="5" t="s">
        <v>7236</v>
      </c>
      <c r="J3103" s="12" t="str">
        <f>HYPERLINK("https://www.boe.es/gazeta/dias/1807/11/17/pdfs/GMD-1807-102.pdf#page=9","Abrir facsímil")</f>
        <v>Abrir facsímil</v>
      </c>
      <c r="K3103" s="15" t="s">
        <v>22</v>
      </c>
    </row>
    <row r="3104" spans="1:11" ht="42" customHeight="1">
      <c r="A3104" s="4" t="s">
        <v>7237</v>
      </c>
      <c r="B3104" s="5" t="s">
        <v>7238</v>
      </c>
      <c r="C3104" s="5" t="s">
        <v>49</v>
      </c>
      <c r="D3104" s="5" t="s">
        <v>50</v>
      </c>
      <c r="E3104" s="5" t="s">
        <v>393</v>
      </c>
      <c r="F3104" s="9">
        <v>15</v>
      </c>
      <c r="G3104" s="9">
        <v>168</v>
      </c>
      <c r="H3104" s="5" t="s">
        <v>20</v>
      </c>
      <c r="I3104" s="5" t="s">
        <v>7239</v>
      </c>
      <c r="J3104" s="12" t="str">
        <f>HYPERLINK("https://www.boe.es/gazeta/dias/1807/02/13/pdfs/GMD-1807-15.pdf#page=4","Abrir facsímil")</f>
        <v>Abrir facsímil</v>
      </c>
      <c r="K3104" s="15" t="s">
        <v>22</v>
      </c>
    </row>
    <row r="3105" spans="1:11" ht="42" customHeight="1">
      <c r="A3105" s="4" t="s">
        <v>7240</v>
      </c>
      <c r="B3105" s="5" t="s">
        <v>7241</v>
      </c>
      <c r="C3105" s="5" t="s">
        <v>34</v>
      </c>
      <c r="D3105" s="5" t="s">
        <v>35</v>
      </c>
      <c r="E3105" s="5" t="s">
        <v>19</v>
      </c>
      <c r="F3105" s="9">
        <v>41</v>
      </c>
      <c r="G3105" s="9">
        <v>489</v>
      </c>
      <c r="H3105" s="5" t="s">
        <v>20</v>
      </c>
      <c r="I3105" s="5" t="s">
        <v>7242</v>
      </c>
      <c r="J3105" s="12" t="str">
        <f>HYPERLINK("https://www.boe.es/gazeta/dias/1807/05/12/pdfs/GMD-1807-41.pdf#page=7","Abrir facsímil")</f>
        <v>Abrir facsímil</v>
      </c>
      <c r="K3105" s="15" t="s">
        <v>22</v>
      </c>
    </row>
    <row r="3106" spans="1:11" ht="42" customHeight="1">
      <c r="A3106" s="4" t="s">
        <v>7243</v>
      </c>
      <c r="B3106" s="5" t="s">
        <v>7244</v>
      </c>
      <c r="C3106" s="5" t="s">
        <v>89</v>
      </c>
      <c r="D3106" s="5" t="s">
        <v>90</v>
      </c>
      <c r="E3106" s="5" t="s">
        <v>120</v>
      </c>
      <c r="F3106" s="9">
        <v>10</v>
      </c>
      <c r="G3106" s="9">
        <v>108</v>
      </c>
      <c r="H3106" s="5" t="s">
        <v>20</v>
      </c>
      <c r="I3106" s="5" t="s">
        <v>7245</v>
      </c>
      <c r="J3106" s="12" t="str">
        <f>HYPERLINK("https://www.boe.es/gazeta/dias/1807/01/27/pdfs/GMD-1807-10.pdf#page=4","Abrir facsímil")</f>
        <v>Abrir facsímil</v>
      </c>
      <c r="K3106" s="15" t="s">
        <v>22</v>
      </c>
    </row>
    <row r="3107" spans="1:11" ht="42" customHeight="1">
      <c r="A3107" s="4" t="s">
        <v>7246</v>
      </c>
      <c r="B3107" s="5" t="s">
        <v>7247</v>
      </c>
      <c r="C3107" s="5" t="s">
        <v>252</v>
      </c>
      <c r="D3107" s="5" t="s">
        <v>253</v>
      </c>
      <c r="E3107" s="5" t="s">
        <v>534</v>
      </c>
      <c r="F3107" s="9" t="s">
        <v>535</v>
      </c>
      <c r="G3107" s="9">
        <v>99</v>
      </c>
      <c r="H3107" s="5" t="s">
        <v>20</v>
      </c>
      <c r="I3107" s="5" t="s">
        <v>7248</v>
      </c>
      <c r="J3107" s="12" t="str">
        <f>HYPERLINK("https://www.boe.es/gazeta/dias/1807/01/24/pdfs/GMD-1807-9E.pdf#page=3","Abrir facsímil")</f>
        <v>Abrir facsímil</v>
      </c>
      <c r="K3107" s="15" t="s">
        <v>22</v>
      </c>
    </row>
    <row r="3108" spans="1:11" ht="42" customHeight="1">
      <c r="A3108" s="4" t="s">
        <v>7249</v>
      </c>
      <c r="B3108" s="5" t="s">
        <v>7250</v>
      </c>
      <c r="C3108" s="5" t="s">
        <v>17</v>
      </c>
      <c r="D3108" s="5" t="s">
        <v>18</v>
      </c>
      <c r="E3108" s="5" t="s">
        <v>149</v>
      </c>
      <c r="F3108" s="9">
        <v>38</v>
      </c>
      <c r="G3108" s="9">
        <v>450</v>
      </c>
      <c r="H3108" s="5" t="s">
        <v>20</v>
      </c>
      <c r="I3108" s="5" t="s">
        <v>7251</v>
      </c>
      <c r="J3108" s="12" t="str">
        <f>HYPERLINK("https://www.boe.es/gazeta/dias/1807/05/01/pdfs/GMD-1807-38.pdf#page=6","Abrir facsímil")</f>
        <v>Abrir facsímil</v>
      </c>
      <c r="K3108" s="15" t="s">
        <v>22</v>
      </c>
    </row>
    <row r="3109" spans="1:11" ht="42" customHeight="1">
      <c r="A3109" s="4" t="s">
        <v>7252</v>
      </c>
      <c r="B3109" s="5" t="s">
        <v>7253</v>
      </c>
      <c r="C3109" s="5" t="s">
        <v>28</v>
      </c>
      <c r="D3109" s="5" t="s">
        <v>29</v>
      </c>
      <c r="E3109" s="5" t="s">
        <v>581</v>
      </c>
      <c r="F3109" s="9">
        <v>71</v>
      </c>
      <c r="G3109" s="9">
        <v>820</v>
      </c>
      <c r="H3109" s="5" t="s">
        <v>20</v>
      </c>
      <c r="I3109" s="5" t="s">
        <v>7254</v>
      </c>
      <c r="J3109" s="12" t="str">
        <f>HYPERLINK("https://www.boe.es/gazeta/dias/1807/08/07/pdfs/GMD-1807-71.pdf#page=12","Abrir facsímil")</f>
        <v>Abrir facsímil</v>
      </c>
      <c r="K3109" s="15" t="s">
        <v>22</v>
      </c>
    </row>
    <row r="3110" spans="1:11" ht="42" customHeight="1">
      <c r="A3110" s="4" t="s">
        <v>7255</v>
      </c>
      <c r="B3110" s="5" t="s">
        <v>7255</v>
      </c>
      <c r="C3110" s="5" t="s">
        <v>28</v>
      </c>
      <c r="D3110" s="5" t="s">
        <v>29</v>
      </c>
      <c r="E3110" s="5" t="s">
        <v>1076</v>
      </c>
      <c r="F3110" s="9">
        <v>96</v>
      </c>
      <c r="G3110" s="9">
        <v>1117</v>
      </c>
      <c r="H3110" s="5" t="s">
        <v>20</v>
      </c>
      <c r="I3110" s="5" t="s">
        <v>7256</v>
      </c>
      <c r="J3110" s="12" t="str">
        <f>HYPERLINK("https://www.boe.es/gazeta/dias/1807/10/27/pdfs/GMD-1807-96.pdf#page=9","Abrir facsímil")</f>
        <v>Abrir facsímil</v>
      </c>
      <c r="K3110" s="15" t="s">
        <v>22</v>
      </c>
    </row>
    <row r="3111" spans="1:11" ht="42" customHeight="1">
      <c r="A3111" s="4" t="s">
        <v>7257</v>
      </c>
      <c r="B3111" s="5" t="s">
        <v>7257</v>
      </c>
      <c r="C3111" s="5" t="s">
        <v>34</v>
      </c>
      <c r="D3111" s="5" t="s">
        <v>35</v>
      </c>
      <c r="E3111" s="5" t="s">
        <v>36</v>
      </c>
      <c r="F3111" s="9">
        <v>36</v>
      </c>
      <c r="G3111" s="9">
        <v>432</v>
      </c>
      <c r="H3111" s="5" t="s">
        <v>20</v>
      </c>
      <c r="I3111" s="5" t="s">
        <v>7258</v>
      </c>
      <c r="J3111" s="12" t="str">
        <f>HYPERLINK("https://www.boe.es/gazeta/dias/1807/04/24/pdfs/GMD-1807-36.pdf#page=12","Abrir facsímil")</f>
        <v>Abrir facsímil</v>
      </c>
      <c r="K3111" s="15" t="s">
        <v>22</v>
      </c>
    </row>
    <row r="3112" spans="1:11" ht="42" customHeight="1">
      <c r="A3112" s="4" t="s">
        <v>7259</v>
      </c>
      <c r="B3112" s="5" t="s">
        <v>7259</v>
      </c>
      <c r="C3112" s="5" t="s">
        <v>34</v>
      </c>
      <c r="D3112" s="5" t="s">
        <v>35</v>
      </c>
      <c r="E3112" s="5" t="s">
        <v>1177</v>
      </c>
      <c r="F3112" s="9">
        <v>101</v>
      </c>
      <c r="G3112" s="9">
        <v>1178</v>
      </c>
      <c r="H3112" s="5" t="s">
        <v>20</v>
      </c>
      <c r="I3112" s="5" t="s">
        <v>7260</v>
      </c>
      <c r="J3112" s="12" t="str">
        <f>HYPERLINK("https://www.boe.es/gazeta/dias/1807/11/13/pdfs/GMD-1807-101.pdf#page=10","Abrir facsímil")</f>
        <v>Abrir facsímil</v>
      </c>
      <c r="K3112" s="15" t="s">
        <v>22</v>
      </c>
    </row>
    <row r="3113" spans="1:11" ht="42" customHeight="1">
      <c r="A3113" s="4" t="s">
        <v>7261</v>
      </c>
      <c r="B3113" s="5" t="s">
        <v>7262</v>
      </c>
      <c r="C3113" s="5" t="s">
        <v>34</v>
      </c>
      <c r="D3113" s="5" t="s">
        <v>35</v>
      </c>
      <c r="E3113" s="5" t="s">
        <v>83</v>
      </c>
      <c r="F3113" s="9">
        <v>50</v>
      </c>
      <c r="G3113" s="9">
        <v>595</v>
      </c>
      <c r="H3113" s="5" t="s">
        <v>20</v>
      </c>
      <c r="I3113" s="5" t="s">
        <v>7263</v>
      </c>
      <c r="J3113" s="12" t="str">
        <f>HYPERLINK("https://www.boe.es/gazeta/dias/1807/06/12/pdfs/GMD-1807-50.pdf#page=9","Abrir facsímil")</f>
        <v>Abrir facsímil</v>
      </c>
      <c r="K3113" s="15" t="s">
        <v>22</v>
      </c>
    </row>
    <row r="3114" spans="1:11" ht="42" customHeight="1">
      <c r="A3114" s="4" t="s">
        <v>7264</v>
      </c>
      <c r="B3114" s="5" t="s">
        <v>7264</v>
      </c>
      <c r="C3114" s="5" t="s">
        <v>34</v>
      </c>
      <c r="D3114" s="5" t="s">
        <v>35</v>
      </c>
      <c r="E3114" s="5" t="s">
        <v>215</v>
      </c>
      <c r="F3114" s="9">
        <v>5</v>
      </c>
      <c r="G3114" s="9">
        <v>55</v>
      </c>
      <c r="H3114" s="5" t="s">
        <v>20</v>
      </c>
      <c r="I3114" s="5" t="s">
        <v>7265</v>
      </c>
      <c r="J3114" s="12" t="str">
        <f>HYPERLINK("https://www.boe.es/gazeta/dias/1807/01/16/pdfs/GMD-1807-5.pdf#page=11","Abrir facsímil")</f>
        <v>Abrir facsímil</v>
      </c>
      <c r="K3114" s="15" t="s">
        <v>22</v>
      </c>
    </row>
    <row r="3115" spans="1:11" ht="42" customHeight="1">
      <c r="A3115" s="4" t="s">
        <v>7264</v>
      </c>
      <c r="B3115" s="5" t="s">
        <v>7264</v>
      </c>
      <c r="C3115" s="5" t="s">
        <v>34</v>
      </c>
      <c r="D3115" s="5" t="s">
        <v>35</v>
      </c>
      <c r="E3115" s="5" t="s">
        <v>131</v>
      </c>
      <c r="F3115" s="9">
        <v>28</v>
      </c>
      <c r="G3115" s="9">
        <v>335</v>
      </c>
      <c r="H3115" s="5" t="s">
        <v>20</v>
      </c>
      <c r="I3115" s="5" t="s">
        <v>7266</v>
      </c>
      <c r="J3115" s="12" t="str">
        <f>HYPERLINK("https://www.boe.es/gazeta/dias/1807/03/27/pdfs/GMD-1807-28.pdf#page=7","Abrir facsímil")</f>
        <v>Abrir facsímil</v>
      </c>
      <c r="K3115" s="15" t="s">
        <v>22</v>
      </c>
    </row>
    <row r="3116" spans="1:11" ht="42" customHeight="1">
      <c r="A3116" s="4" t="s">
        <v>7264</v>
      </c>
      <c r="B3116" s="5" t="s">
        <v>7264</v>
      </c>
      <c r="C3116" s="5" t="s">
        <v>34</v>
      </c>
      <c r="D3116" s="5" t="s">
        <v>35</v>
      </c>
      <c r="E3116" s="5" t="s">
        <v>478</v>
      </c>
      <c r="F3116" s="9">
        <v>30</v>
      </c>
      <c r="G3116" s="9">
        <v>359</v>
      </c>
      <c r="H3116" s="5" t="s">
        <v>20</v>
      </c>
      <c r="I3116" s="5" t="s">
        <v>7267</v>
      </c>
      <c r="J3116" s="12" t="str">
        <f>HYPERLINK("https://www.boe.es/gazeta/dias/1807/04/03/pdfs/GMD-1807-30.pdf#page=11","Abrir facsímil")</f>
        <v>Abrir facsímil</v>
      </c>
      <c r="K3116" s="15" t="s">
        <v>22</v>
      </c>
    </row>
    <row r="3117" spans="1:11" ht="42" customHeight="1">
      <c r="A3117" s="4" t="s">
        <v>7264</v>
      </c>
      <c r="B3117" s="5" t="s">
        <v>7264</v>
      </c>
      <c r="C3117" s="5" t="s">
        <v>34</v>
      </c>
      <c r="D3117" s="5" t="s">
        <v>35</v>
      </c>
      <c r="E3117" s="5" t="s">
        <v>98</v>
      </c>
      <c r="F3117" s="9">
        <v>34</v>
      </c>
      <c r="G3117" s="9">
        <v>407</v>
      </c>
      <c r="H3117" s="5" t="s">
        <v>20</v>
      </c>
      <c r="I3117" s="5" t="s">
        <v>7268</v>
      </c>
      <c r="J3117" s="12" t="str">
        <f>HYPERLINK("https://www.boe.es/gazeta/dias/1807/04/17/pdfs/GMD-1807-34.pdf#page=11","Abrir facsímil")</f>
        <v>Abrir facsímil</v>
      </c>
      <c r="K3117" s="15" t="s">
        <v>22</v>
      </c>
    </row>
    <row r="3118" spans="1:11" ht="42" customHeight="1">
      <c r="A3118" s="4" t="s">
        <v>7264</v>
      </c>
      <c r="B3118" s="5" t="s">
        <v>7264</v>
      </c>
      <c r="C3118" s="5" t="s">
        <v>34</v>
      </c>
      <c r="D3118" s="5" t="s">
        <v>35</v>
      </c>
      <c r="E3118" s="5" t="s">
        <v>71</v>
      </c>
      <c r="F3118" s="9">
        <v>35</v>
      </c>
      <c r="G3118" s="9">
        <v>419</v>
      </c>
      <c r="H3118" s="5" t="s">
        <v>20</v>
      </c>
      <c r="I3118" s="5" t="s">
        <v>7269</v>
      </c>
      <c r="J3118" s="12" t="str">
        <f>HYPERLINK("https://www.boe.es/gazeta/dias/1807/04/21/pdfs/GMD-1807-35.pdf#page=11","Abrir facsímil")</f>
        <v>Abrir facsímil</v>
      </c>
      <c r="K3118" s="15" t="s">
        <v>22</v>
      </c>
    </row>
    <row r="3119" spans="1:11" ht="42" customHeight="1">
      <c r="A3119" s="4" t="s">
        <v>7264</v>
      </c>
      <c r="B3119" s="5" t="s">
        <v>7264</v>
      </c>
      <c r="C3119" s="5" t="s">
        <v>34</v>
      </c>
      <c r="D3119" s="5" t="s">
        <v>35</v>
      </c>
      <c r="E3119" s="5" t="s">
        <v>149</v>
      </c>
      <c r="F3119" s="9">
        <v>38</v>
      </c>
      <c r="G3119" s="9">
        <v>453</v>
      </c>
      <c r="H3119" s="5" t="s">
        <v>20</v>
      </c>
      <c r="I3119" s="5" t="s">
        <v>7270</v>
      </c>
      <c r="J3119" s="12" t="str">
        <f>HYPERLINK("https://www.boe.es/gazeta/dias/1807/05/01/pdfs/GMD-1807-38.pdf#page=9","Abrir facsímil")</f>
        <v>Abrir facsímil</v>
      </c>
      <c r="K3119" s="15" t="s">
        <v>22</v>
      </c>
    </row>
    <row r="3120" spans="1:11" ht="42" customHeight="1">
      <c r="A3120" s="4" t="s">
        <v>7264</v>
      </c>
      <c r="B3120" s="5" t="s">
        <v>7264</v>
      </c>
      <c r="C3120" s="5" t="s">
        <v>34</v>
      </c>
      <c r="D3120" s="5" t="s">
        <v>35</v>
      </c>
      <c r="E3120" s="5" t="s">
        <v>414</v>
      </c>
      <c r="F3120" s="9">
        <v>40</v>
      </c>
      <c r="G3120" s="9">
        <v>480</v>
      </c>
      <c r="H3120" s="5" t="s">
        <v>20</v>
      </c>
      <c r="I3120" s="5" t="s">
        <v>7271</v>
      </c>
      <c r="J3120" s="12" t="str">
        <f>HYPERLINK("https://www.boe.es/gazeta/dias/1807/05/08/pdfs/GMD-1807-40.pdf#page=10","Abrir facsímil")</f>
        <v>Abrir facsímil</v>
      </c>
      <c r="K3120" s="15" t="s">
        <v>22</v>
      </c>
    </row>
    <row r="3121" spans="1:11" ht="42" customHeight="1">
      <c r="A3121" s="4" t="s">
        <v>7264</v>
      </c>
      <c r="B3121" s="5" t="s">
        <v>7264</v>
      </c>
      <c r="C3121" s="5" t="s">
        <v>34</v>
      </c>
      <c r="D3121" s="5" t="s">
        <v>35</v>
      </c>
      <c r="E3121" s="5" t="s">
        <v>19</v>
      </c>
      <c r="F3121" s="9">
        <v>41</v>
      </c>
      <c r="G3121" s="9">
        <v>492</v>
      </c>
      <c r="H3121" s="5" t="s">
        <v>20</v>
      </c>
      <c r="I3121" s="5" t="s">
        <v>7272</v>
      </c>
      <c r="J3121" s="12" t="str">
        <f>HYPERLINK("https://www.boe.es/gazeta/dias/1807/05/12/pdfs/GMD-1807-41.pdf#page=10","Abrir facsímil")</f>
        <v>Abrir facsímil</v>
      </c>
      <c r="K3121" s="15" t="s">
        <v>22</v>
      </c>
    </row>
    <row r="3122" spans="1:11" ht="42" customHeight="1">
      <c r="A3122" s="4" t="s">
        <v>7264</v>
      </c>
      <c r="B3122" s="5" t="s">
        <v>7264</v>
      </c>
      <c r="C3122" s="5" t="s">
        <v>34</v>
      </c>
      <c r="D3122" s="5" t="s">
        <v>35</v>
      </c>
      <c r="E3122" s="5" t="s">
        <v>114</v>
      </c>
      <c r="F3122" s="9">
        <v>46</v>
      </c>
      <c r="G3122" s="9">
        <v>553</v>
      </c>
      <c r="H3122" s="5" t="s">
        <v>20</v>
      </c>
      <c r="I3122" s="5" t="s">
        <v>7273</v>
      </c>
      <c r="J3122" s="12" t="str">
        <f>HYPERLINK("https://www.boe.es/gazeta/dias/1807/05/29/pdfs/GMD-1807-46.pdf#page=11","Abrir facsímil")</f>
        <v>Abrir facsímil</v>
      </c>
      <c r="K3122" s="15" t="s">
        <v>22</v>
      </c>
    </row>
    <row r="3123" spans="1:11" ht="42" customHeight="1">
      <c r="A3123" s="4" t="s">
        <v>7264</v>
      </c>
      <c r="B3123" s="5" t="s">
        <v>7264</v>
      </c>
      <c r="C3123" s="5" t="s">
        <v>34</v>
      </c>
      <c r="D3123" s="5" t="s">
        <v>35</v>
      </c>
      <c r="E3123" s="5" t="s">
        <v>505</v>
      </c>
      <c r="F3123" s="9">
        <v>47</v>
      </c>
      <c r="G3123" s="9">
        <v>561</v>
      </c>
      <c r="H3123" s="5" t="s">
        <v>20</v>
      </c>
      <c r="I3123" s="5" t="s">
        <v>7274</v>
      </c>
      <c r="J3123" s="12" t="str">
        <f>HYPERLINK("https://www.boe.es/gazeta/dias/1807/06/02/pdfs/GMD-1807-47.pdf#page=7","Abrir facsímil")</f>
        <v>Abrir facsímil</v>
      </c>
      <c r="K3123" s="15" t="s">
        <v>22</v>
      </c>
    </row>
    <row r="3124" spans="1:11" ht="42" customHeight="1">
      <c r="A3124" s="4" t="s">
        <v>7264</v>
      </c>
      <c r="B3124" s="5" t="s">
        <v>7264</v>
      </c>
      <c r="C3124" s="5" t="s">
        <v>24</v>
      </c>
      <c r="D3124" s="5" t="s">
        <v>18</v>
      </c>
      <c r="E3124" s="5" t="s">
        <v>319</v>
      </c>
      <c r="F3124" s="9">
        <v>54</v>
      </c>
      <c r="G3124" s="9">
        <v>648</v>
      </c>
      <c r="H3124" s="5" t="s">
        <v>20</v>
      </c>
      <c r="I3124" s="5" t="s">
        <v>7275</v>
      </c>
      <c r="J3124" s="12" t="str">
        <f>HYPERLINK("https://www.boe.es/gazeta/dias/1807/06/26/pdfs/GMD-1807-54.pdf#page=10","Abrir facsímil")</f>
        <v>Abrir facsímil</v>
      </c>
      <c r="K3124" s="15" t="s">
        <v>22</v>
      </c>
    </row>
    <row r="3125" spans="1:11" ht="42" customHeight="1">
      <c r="A3125" s="4" t="s">
        <v>7264</v>
      </c>
      <c r="B3125" s="5" t="s">
        <v>7264</v>
      </c>
      <c r="C3125" s="5" t="s">
        <v>34</v>
      </c>
      <c r="D3125" s="5" t="s">
        <v>35</v>
      </c>
      <c r="E3125" s="5" t="s">
        <v>51</v>
      </c>
      <c r="F3125" s="9">
        <v>62</v>
      </c>
      <c r="G3125" s="9">
        <v>733</v>
      </c>
      <c r="H3125" s="5" t="s">
        <v>20</v>
      </c>
      <c r="I3125" s="5" t="s">
        <v>7276</v>
      </c>
      <c r="J3125" s="12" t="str">
        <f>HYPERLINK("https://www.boe.es/gazeta/dias/1807/07/17/pdfs/GMD-1807-62.pdf#page=7","Abrir facsímil")</f>
        <v>Abrir facsímil</v>
      </c>
      <c r="K3125" s="15" t="s">
        <v>22</v>
      </c>
    </row>
    <row r="3126" spans="1:11" ht="42" customHeight="1">
      <c r="A3126" s="4" t="s">
        <v>7264</v>
      </c>
      <c r="B3126" s="5" t="s">
        <v>7264</v>
      </c>
      <c r="C3126" s="5" t="s">
        <v>34</v>
      </c>
      <c r="D3126" s="5" t="s">
        <v>35</v>
      </c>
      <c r="E3126" s="5" t="s">
        <v>53</v>
      </c>
      <c r="F3126" s="9">
        <v>64</v>
      </c>
      <c r="G3126" s="9">
        <v>749</v>
      </c>
      <c r="H3126" s="5" t="s">
        <v>20</v>
      </c>
      <c r="I3126" s="5" t="s">
        <v>7277</v>
      </c>
      <c r="J3126" s="12" t="str">
        <f>HYPERLINK("https://www.boe.es/gazeta/dias/1807/07/21/pdfs/GMD-1807-64.pdf#page=11","Abrir facsímil")</f>
        <v>Abrir facsímil</v>
      </c>
      <c r="K3126" s="15" t="s">
        <v>22</v>
      </c>
    </row>
    <row r="3127" spans="1:11" ht="42" customHeight="1">
      <c r="A3127" s="4" t="s">
        <v>7264</v>
      </c>
      <c r="B3127" s="5" t="s">
        <v>7264</v>
      </c>
      <c r="C3127" s="5" t="s">
        <v>34</v>
      </c>
      <c r="D3127" s="5" t="s">
        <v>35</v>
      </c>
      <c r="E3127" s="5" t="s">
        <v>266</v>
      </c>
      <c r="F3127" s="9">
        <v>67</v>
      </c>
      <c r="G3127" s="9">
        <v>775</v>
      </c>
      <c r="H3127" s="5" t="s">
        <v>20</v>
      </c>
      <c r="I3127" s="5" t="s">
        <v>7278</v>
      </c>
      <c r="J3127" s="12" t="str">
        <f>HYPERLINK("https://www.boe.es/gazeta/dias/1807/07/28/pdfs/GMD-1807-67.pdf#page=11","Abrir facsímil")</f>
        <v>Abrir facsímil</v>
      </c>
      <c r="K3127" s="15" t="s">
        <v>22</v>
      </c>
    </row>
    <row r="3128" spans="1:11" ht="42" customHeight="1">
      <c r="A3128" s="4" t="s">
        <v>7264</v>
      </c>
      <c r="B3128" s="5" t="s">
        <v>7264</v>
      </c>
      <c r="C3128" s="5" t="s">
        <v>34</v>
      </c>
      <c r="D3128" s="5" t="s">
        <v>35</v>
      </c>
      <c r="E3128" s="5" t="s">
        <v>62</v>
      </c>
      <c r="F3128" s="9">
        <v>68</v>
      </c>
      <c r="G3128" s="9">
        <v>786</v>
      </c>
      <c r="H3128" s="5" t="s">
        <v>20</v>
      </c>
      <c r="I3128" s="5" t="s">
        <v>7279</v>
      </c>
      <c r="J3128" s="12" t="str">
        <f>HYPERLINK("https://www.boe.es/gazeta/dias/1807/07/31/pdfs/GMD-1807-68.pdf#page=10","Abrir facsímil")</f>
        <v>Abrir facsímil</v>
      </c>
      <c r="K3128" s="15" t="s">
        <v>22</v>
      </c>
    </row>
    <row r="3129" spans="1:11" ht="42" customHeight="1">
      <c r="A3129" s="4" t="s">
        <v>7280</v>
      </c>
      <c r="B3129" s="5" t="s">
        <v>7280</v>
      </c>
      <c r="C3129" s="5" t="s">
        <v>34</v>
      </c>
      <c r="D3129" s="5" t="s">
        <v>35</v>
      </c>
      <c r="E3129" s="5" t="s">
        <v>581</v>
      </c>
      <c r="F3129" s="9">
        <v>71</v>
      </c>
      <c r="G3129" s="9">
        <v>817</v>
      </c>
      <c r="H3129" s="5" t="s">
        <v>20</v>
      </c>
      <c r="I3129" s="5" t="s">
        <v>7281</v>
      </c>
      <c r="J3129" s="12" t="str">
        <f>HYPERLINK("https://www.boe.es/gazeta/dias/1807/08/07/pdfs/GMD-1807-71.pdf#page=9","Abrir facsímil")</f>
        <v>Abrir facsímil</v>
      </c>
      <c r="K3129" s="15" t="s">
        <v>22</v>
      </c>
    </row>
    <row r="3130" spans="1:11" ht="42" customHeight="1">
      <c r="A3130" s="4" t="s">
        <v>7264</v>
      </c>
      <c r="B3130" s="5" t="s">
        <v>7264</v>
      </c>
      <c r="C3130" s="5" t="s">
        <v>34</v>
      </c>
      <c r="D3130" s="5" t="s">
        <v>35</v>
      </c>
      <c r="E3130" s="5" t="s">
        <v>186</v>
      </c>
      <c r="F3130" s="9">
        <v>72</v>
      </c>
      <c r="G3130" s="9">
        <v>835</v>
      </c>
      <c r="H3130" s="5" t="s">
        <v>20</v>
      </c>
      <c r="I3130" s="5" t="s">
        <v>7282</v>
      </c>
      <c r="J3130" s="12" t="str">
        <f>HYPERLINK("https://www.boe.es/gazeta/dias/1807/08/11/pdfs/GMD-1807-72.pdf#page=15","Abrir facsímil")</f>
        <v>Abrir facsímil</v>
      </c>
      <c r="K3130" s="15" t="s">
        <v>22</v>
      </c>
    </row>
    <row r="3131" spans="1:11" ht="42" customHeight="1">
      <c r="A3131" s="4" t="s">
        <v>7264</v>
      </c>
      <c r="B3131" s="5" t="s">
        <v>7264</v>
      </c>
      <c r="C3131" s="5" t="s">
        <v>34</v>
      </c>
      <c r="D3131" s="5" t="s">
        <v>35</v>
      </c>
      <c r="E3131" s="5" t="s">
        <v>321</v>
      </c>
      <c r="F3131" s="9">
        <v>75</v>
      </c>
      <c r="G3131" s="9">
        <v>871</v>
      </c>
      <c r="H3131" s="5" t="s">
        <v>20</v>
      </c>
      <c r="I3131" s="5" t="s">
        <v>7283</v>
      </c>
      <c r="J3131" s="12" t="str">
        <f>HYPERLINK("https://www.boe.es/gazeta/dias/1807/08/21/pdfs/GMD-1807-75.pdf#page=11","Abrir facsímil")</f>
        <v>Abrir facsímil</v>
      </c>
      <c r="K3131" s="15" t="s">
        <v>22</v>
      </c>
    </row>
    <row r="3132" spans="1:11" ht="42" customHeight="1">
      <c r="A3132" s="4" t="s">
        <v>7264</v>
      </c>
      <c r="B3132" s="5" t="s">
        <v>7264</v>
      </c>
      <c r="C3132" s="5" t="s">
        <v>34</v>
      </c>
      <c r="D3132" s="5" t="s">
        <v>35</v>
      </c>
      <c r="E3132" s="5" t="s">
        <v>167</v>
      </c>
      <c r="F3132" s="9">
        <v>77</v>
      </c>
      <c r="G3132" s="9">
        <v>895</v>
      </c>
      <c r="H3132" s="5" t="s">
        <v>20</v>
      </c>
      <c r="I3132" s="5" t="s">
        <v>7284</v>
      </c>
      <c r="J3132" s="12" t="str">
        <f>HYPERLINK("https://www.boe.es/gazeta/dias/1807/08/28/pdfs/GMD-1807-77.pdf#page=11","Abrir facsímil")</f>
        <v>Abrir facsímil</v>
      </c>
      <c r="K3132" s="15" t="s">
        <v>22</v>
      </c>
    </row>
    <row r="3133" spans="1:11" ht="42" customHeight="1">
      <c r="A3133" s="4" t="s">
        <v>7264</v>
      </c>
      <c r="B3133" s="5" t="s">
        <v>7264</v>
      </c>
      <c r="C3133" s="5" t="s">
        <v>34</v>
      </c>
      <c r="D3133" s="5" t="s">
        <v>35</v>
      </c>
      <c r="E3133" s="5" t="s">
        <v>135</v>
      </c>
      <c r="F3133" s="9">
        <v>80</v>
      </c>
      <c r="G3133" s="9">
        <v>935</v>
      </c>
      <c r="H3133" s="5" t="s">
        <v>20</v>
      </c>
      <c r="I3133" s="5" t="s">
        <v>7285</v>
      </c>
      <c r="J3133" s="12" t="str">
        <f>HYPERLINK("https://www.boe.es/gazeta/dias/1807/09/08/pdfs/GMD-1807-80.pdf#page=11","Abrir facsímil")</f>
        <v>Abrir facsímil</v>
      </c>
      <c r="K3133" s="15" t="s">
        <v>22</v>
      </c>
    </row>
    <row r="3134" spans="1:11" ht="42" customHeight="1">
      <c r="A3134" s="4" t="s">
        <v>7264</v>
      </c>
      <c r="B3134" s="5" t="s">
        <v>7264</v>
      </c>
      <c r="C3134" s="5" t="s">
        <v>34</v>
      </c>
      <c r="D3134" s="5" t="s">
        <v>35</v>
      </c>
      <c r="E3134" s="5" t="s">
        <v>127</v>
      </c>
      <c r="F3134" s="9">
        <v>81</v>
      </c>
      <c r="G3134" s="9">
        <v>947</v>
      </c>
      <c r="H3134" s="5" t="s">
        <v>20</v>
      </c>
      <c r="I3134" s="5" t="s">
        <v>7286</v>
      </c>
      <c r="J3134" s="12" t="str">
        <f>HYPERLINK("https://www.boe.es/gazeta/dias/1807/09/11/pdfs/GMD-1807-81.pdf#page=11","Abrir facsímil")</f>
        <v>Abrir facsímil</v>
      </c>
      <c r="K3134" s="15" t="s">
        <v>22</v>
      </c>
    </row>
    <row r="3135" spans="1:11" ht="42" customHeight="1">
      <c r="A3135" s="4" t="s">
        <v>7264</v>
      </c>
      <c r="B3135" s="5" t="s">
        <v>7264</v>
      </c>
      <c r="C3135" s="5" t="s">
        <v>34</v>
      </c>
      <c r="D3135" s="5" t="s">
        <v>35</v>
      </c>
      <c r="E3135" s="5" t="s">
        <v>406</v>
      </c>
      <c r="F3135" s="9">
        <v>82</v>
      </c>
      <c r="G3135" s="9">
        <v>958</v>
      </c>
      <c r="H3135" s="5" t="s">
        <v>20</v>
      </c>
      <c r="I3135" s="5" t="s">
        <v>7287</v>
      </c>
      <c r="J3135" s="12" t="str">
        <f>HYPERLINK("https://www.boe.es/gazeta/dias/1807/09/15/pdfs/GMD-1807-82.pdf#page=10","Abrir facsímil")</f>
        <v>Abrir facsímil</v>
      </c>
      <c r="K3135" s="15" t="s">
        <v>22</v>
      </c>
    </row>
    <row r="3136" spans="1:11" ht="42" customHeight="1">
      <c r="A3136" s="4" t="s">
        <v>7264</v>
      </c>
      <c r="B3136" s="5" t="s">
        <v>7264</v>
      </c>
      <c r="C3136" s="5" t="s">
        <v>34</v>
      </c>
      <c r="D3136" s="5" t="s">
        <v>35</v>
      </c>
      <c r="E3136" s="5" t="s">
        <v>1354</v>
      </c>
      <c r="F3136" s="9">
        <v>83</v>
      </c>
      <c r="G3136" s="9">
        <v>971</v>
      </c>
      <c r="H3136" s="5" t="s">
        <v>20</v>
      </c>
      <c r="I3136" s="5" t="s">
        <v>7288</v>
      </c>
      <c r="J3136" s="12" t="str">
        <f>HYPERLINK("https://www.boe.es/gazeta/dias/1807/09/18/pdfs/GMD-1807-83.pdf#page=11","Abrir facsímil")</f>
        <v>Abrir facsímil</v>
      </c>
      <c r="K3136" s="15" t="s">
        <v>22</v>
      </c>
    </row>
    <row r="3137" spans="1:11" ht="42" customHeight="1">
      <c r="A3137" s="4" t="s">
        <v>7264</v>
      </c>
      <c r="B3137" s="5" t="s">
        <v>7264</v>
      </c>
      <c r="C3137" s="5" t="s">
        <v>34</v>
      </c>
      <c r="D3137" s="5" t="s">
        <v>35</v>
      </c>
      <c r="E3137" s="5" t="s">
        <v>426</v>
      </c>
      <c r="F3137" s="9">
        <v>93</v>
      </c>
      <c r="G3137" s="9">
        <v>1083</v>
      </c>
      <c r="H3137" s="5" t="s">
        <v>20</v>
      </c>
      <c r="I3137" s="5" t="s">
        <v>7289</v>
      </c>
      <c r="J3137" s="12" t="str">
        <f>HYPERLINK("https://www.boe.es/gazeta/dias/1807/10/16/pdfs/GMD-1807-93.pdf#page=11","Abrir facsímil")</f>
        <v>Abrir facsímil</v>
      </c>
      <c r="K3137" s="15" t="s">
        <v>22</v>
      </c>
    </row>
    <row r="3138" spans="1:11" ht="42" customHeight="1">
      <c r="A3138" s="4" t="s">
        <v>7264</v>
      </c>
      <c r="B3138" s="5" t="s">
        <v>7264</v>
      </c>
      <c r="C3138" s="5" t="s">
        <v>34</v>
      </c>
      <c r="D3138" s="5" t="s">
        <v>35</v>
      </c>
      <c r="E3138" s="5" t="s">
        <v>444</v>
      </c>
      <c r="F3138" s="9">
        <v>95</v>
      </c>
      <c r="G3138" s="9">
        <v>1106</v>
      </c>
      <c r="H3138" s="5" t="s">
        <v>20</v>
      </c>
      <c r="I3138" s="5" t="s">
        <v>7290</v>
      </c>
      <c r="J3138" s="12" t="str">
        <f>HYPERLINK("https://www.boe.es/gazeta/dias/1807/10/23/pdfs/GMD-1807-95.pdf#page=10","Abrir facsímil")</f>
        <v>Abrir facsímil</v>
      </c>
      <c r="K3138" s="15" t="s">
        <v>22</v>
      </c>
    </row>
    <row r="3139" spans="1:11" ht="42" customHeight="1">
      <c r="A3139" s="4" t="s">
        <v>7264</v>
      </c>
      <c r="B3139" s="5" t="s">
        <v>7264</v>
      </c>
      <c r="C3139" s="5" t="s">
        <v>34</v>
      </c>
      <c r="D3139" s="5" t="s">
        <v>35</v>
      </c>
      <c r="E3139" s="5" t="s">
        <v>444</v>
      </c>
      <c r="F3139" s="9">
        <v>95</v>
      </c>
      <c r="G3139" s="9">
        <v>1107</v>
      </c>
      <c r="H3139" s="5" t="s">
        <v>20</v>
      </c>
      <c r="I3139" s="5" t="s">
        <v>7291</v>
      </c>
      <c r="J3139" s="12" t="str">
        <f>HYPERLINK("https://www.boe.es/gazeta/dias/1807/10/23/pdfs/GMD-1807-95.pdf#page=11","Abrir facsímil")</f>
        <v>Abrir facsímil</v>
      </c>
      <c r="K3139" s="15" t="s">
        <v>22</v>
      </c>
    </row>
    <row r="3140" spans="1:11" ht="42" customHeight="1">
      <c r="A3140" s="4" t="s">
        <v>7264</v>
      </c>
      <c r="B3140" s="5" t="s">
        <v>7264</v>
      </c>
      <c r="C3140" s="5" t="s">
        <v>34</v>
      </c>
      <c r="D3140" s="5" t="s">
        <v>35</v>
      </c>
      <c r="E3140" s="5" t="s">
        <v>245</v>
      </c>
      <c r="F3140" s="9">
        <v>97</v>
      </c>
      <c r="G3140" s="9">
        <v>1130</v>
      </c>
      <c r="H3140" s="5" t="s">
        <v>20</v>
      </c>
      <c r="I3140" s="5" t="s">
        <v>7292</v>
      </c>
      <c r="J3140" s="12" t="str">
        <f>HYPERLINK("https://www.boe.es/gazeta/dias/1807/10/30/pdfs/GMD-1807-97.pdf#page=10","Abrir facsímil")</f>
        <v>Abrir facsímil</v>
      </c>
      <c r="K3140" s="15" t="s">
        <v>22</v>
      </c>
    </row>
    <row r="3141" spans="1:11" ht="42" customHeight="1">
      <c r="A3141" s="4" t="s">
        <v>7264</v>
      </c>
      <c r="B3141" s="5" t="s">
        <v>7264</v>
      </c>
      <c r="C3141" s="5" t="s">
        <v>34</v>
      </c>
      <c r="D3141" s="5" t="s">
        <v>35</v>
      </c>
      <c r="E3141" s="5" t="s">
        <v>245</v>
      </c>
      <c r="F3141" s="9">
        <v>97</v>
      </c>
      <c r="G3141" s="9">
        <v>1131</v>
      </c>
      <c r="H3141" s="5" t="s">
        <v>20</v>
      </c>
      <c r="I3141" s="5" t="s">
        <v>7293</v>
      </c>
      <c r="J3141" s="12" t="str">
        <f>HYPERLINK("https://www.boe.es/gazeta/dias/1807/10/30/pdfs/GMD-1807-97.pdf#page=11","Abrir facsímil")</f>
        <v>Abrir facsímil</v>
      </c>
      <c r="K3141" s="15" t="s">
        <v>22</v>
      </c>
    </row>
    <row r="3142" spans="1:11" ht="42" customHeight="1">
      <c r="A3142" s="4" t="s">
        <v>7264</v>
      </c>
      <c r="B3142" s="5" t="s">
        <v>7264</v>
      </c>
      <c r="C3142" s="5" t="s">
        <v>34</v>
      </c>
      <c r="D3142" s="5" t="s">
        <v>35</v>
      </c>
      <c r="E3142" s="5" t="s">
        <v>1456</v>
      </c>
      <c r="F3142" s="9">
        <v>98</v>
      </c>
      <c r="G3142" s="9">
        <v>1143</v>
      </c>
      <c r="H3142" s="5" t="s">
        <v>20</v>
      </c>
      <c r="I3142" s="5" t="s">
        <v>7294</v>
      </c>
      <c r="J3142" s="12" t="str">
        <f>HYPERLINK("https://www.boe.es/gazeta/dias/1807/11/03/pdfs/GMD-1807-98.pdf#page=11","Abrir facsímil")</f>
        <v>Abrir facsímil</v>
      </c>
      <c r="K3142" s="15" t="s">
        <v>22</v>
      </c>
    </row>
    <row r="3143" spans="1:11" ht="42" customHeight="1">
      <c r="A3143" s="4" t="s">
        <v>7264</v>
      </c>
      <c r="B3143" s="5" t="s">
        <v>7264</v>
      </c>
      <c r="C3143" s="5" t="s">
        <v>34</v>
      </c>
      <c r="D3143" s="5" t="s">
        <v>35</v>
      </c>
      <c r="E3143" s="5" t="s">
        <v>1177</v>
      </c>
      <c r="F3143" s="9">
        <v>101</v>
      </c>
      <c r="G3143" s="9">
        <v>1179</v>
      </c>
      <c r="H3143" s="5" t="s">
        <v>20</v>
      </c>
      <c r="I3143" s="5" t="s">
        <v>7295</v>
      </c>
      <c r="J3143" s="12" t="str">
        <f>HYPERLINK("https://www.boe.es/gazeta/dias/1807/11/13/pdfs/GMD-1807-101.pdf#page=11","Abrir facsímil")</f>
        <v>Abrir facsímil</v>
      </c>
      <c r="K3143" s="15" t="s">
        <v>22</v>
      </c>
    </row>
    <row r="3144" spans="1:11" ht="42" customHeight="1">
      <c r="A3144" s="4" t="s">
        <v>7264</v>
      </c>
      <c r="B3144" s="5" t="s">
        <v>7264</v>
      </c>
      <c r="C3144" s="5" t="s">
        <v>34</v>
      </c>
      <c r="D3144" s="5" t="s">
        <v>35</v>
      </c>
      <c r="E3144" s="5" t="s">
        <v>754</v>
      </c>
      <c r="F3144" s="9">
        <v>103</v>
      </c>
      <c r="G3144" s="9">
        <v>1204</v>
      </c>
      <c r="H3144" s="5" t="s">
        <v>20</v>
      </c>
      <c r="I3144" s="5" t="s">
        <v>7296</v>
      </c>
      <c r="J3144" s="12" t="str">
        <f>HYPERLINK("https://www.boe.es/gazeta/dias/1807/11/20/pdfs/GMD-1807-103.pdf#page=12","Abrir facsímil")</f>
        <v>Abrir facsímil</v>
      </c>
      <c r="K3144" s="15" t="s">
        <v>22</v>
      </c>
    </row>
    <row r="3145" spans="1:11" ht="42" customHeight="1">
      <c r="A3145" s="4" t="s">
        <v>7264</v>
      </c>
      <c r="B3145" s="5" t="s">
        <v>7264</v>
      </c>
      <c r="C3145" s="5" t="s">
        <v>34</v>
      </c>
      <c r="D3145" s="5" t="s">
        <v>35</v>
      </c>
      <c r="E3145" s="5" t="s">
        <v>309</v>
      </c>
      <c r="F3145" s="9">
        <v>107</v>
      </c>
      <c r="G3145" s="9">
        <v>1248</v>
      </c>
      <c r="H3145" s="5" t="s">
        <v>20</v>
      </c>
      <c r="I3145" s="5" t="s">
        <v>7297</v>
      </c>
      <c r="J3145" s="12" t="str">
        <f>HYPERLINK("https://www.boe.es/gazeta/dias/1807/12/01/pdfs/GMD-1807-107.pdf#page=8","Abrir facsímil")</f>
        <v>Abrir facsímil</v>
      </c>
      <c r="K3145" s="15" t="s">
        <v>22</v>
      </c>
    </row>
    <row r="3146" spans="1:11" ht="42" customHeight="1">
      <c r="A3146" s="4" t="s">
        <v>7264</v>
      </c>
      <c r="B3146" s="5" t="s">
        <v>7264</v>
      </c>
      <c r="C3146" s="5" t="s">
        <v>17</v>
      </c>
      <c r="D3146" s="5" t="s">
        <v>18</v>
      </c>
      <c r="E3146" s="5" t="s">
        <v>309</v>
      </c>
      <c r="F3146" s="9">
        <v>107</v>
      </c>
      <c r="G3146" s="9">
        <v>1249</v>
      </c>
      <c r="H3146" s="5" t="s">
        <v>20</v>
      </c>
      <c r="I3146" s="5" t="s">
        <v>7298</v>
      </c>
      <c r="J3146" s="12" t="str">
        <f>HYPERLINK("https://www.boe.es/gazeta/dias/1807/12/01/pdfs/GMD-1807-107.pdf#page=9","Abrir facsímil")</f>
        <v>Abrir facsímil</v>
      </c>
      <c r="K3146" s="15" t="s">
        <v>22</v>
      </c>
    </row>
    <row r="3147" spans="1:11" ht="42" customHeight="1">
      <c r="A3147" s="4" t="s">
        <v>7264</v>
      </c>
      <c r="B3147" s="5" t="s">
        <v>7264</v>
      </c>
      <c r="C3147" s="5" t="s">
        <v>34</v>
      </c>
      <c r="D3147" s="5" t="s">
        <v>35</v>
      </c>
      <c r="E3147" s="5" t="s">
        <v>327</v>
      </c>
      <c r="F3147" s="9">
        <v>108</v>
      </c>
      <c r="G3147" s="9">
        <v>1262</v>
      </c>
      <c r="H3147" s="5" t="s">
        <v>20</v>
      </c>
      <c r="I3147" s="5" t="s">
        <v>7299</v>
      </c>
      <c r="J3147" s="12" t="str">
        <f>HYPERLINK("https://www.boe.es/gazeta/dias/1807/12/04/pdfs/GMD-1807-108.pdf#page=10","Abrir facsímil")</f>
        <v>Abrir facsímil</v>
      </c>
      <c r="K3147" s="15" t="s">
        <v>22</v>
      </c>
    </row>
    <row r="3148" spans="1:11" ht="42" customHeight="1">
      <c r="A3148" s="4" t="s">
        <v>7264</v>
      </c>
      <c r="B3148" s="5" t="s">
        <v>7264</v>
      </c>
      <c r="C3148" s="5" t="s">
        <v>34</v>
      </c>
      <c r="D3148" s="5" t="s">
        <v>35</v>
      </c>
      <c r="E3148" s="5" t="s">
        <v>139</v>
      </c>
      <c r="F3148" s="9">
        <v>110</v>
      </c>
      <c r="G3148" s="9">
        <v>1285</v>
      </c>
      <c r="H3148" s="5" t="s">
        <v>20</v>
      </c>
      <c r="I3148" s="5" t="s">
        <v>7300</v>
      </c>
      <c r="J3148" s="12" t="str">
        <f>HYPERLINK("https://www.boe.es/gazeta/dias/1807/12/11/pdfs/GMD-1807-110.pdf#page=9","Abrir facsímil")</f>
        <v>Abrir facsímil</v>
      </c>
      <c r="K3148" s="15" t="s">
        <v>22</v>
      </c>
    </row>
    <row r="3149" spans="1:11" ht="42" customHeight="1">
      <c r="A3149" s="4" t="s">
        <v>7264</v>
      </c>
      <c r="B3149" s="5" t="s">
        <v>7264</v>
      </c>
      <c r="C3149" s="5" t="s">
        <v>34</v>
      </c>
      <c r="D3149" s="5" t="s">
        <v>35</v>
      </c>
      <c r="E3149" s="5" t="s">
        <v>139</v>
      </c>
      <c r="F3149" s="9">
        <v>110</v>
      </c>
      <c r="G3149" s="9">
        <v>1286</v>
      </c>
      <c r="H3149" s="5" t="s">
        <v>20</v>
      </c>
      <c r="I3149" s="5" t="s">
        <v>7301</v>
      </c>
      <c r="J3149" s="12" t="str">
        <f>HYPERLINK("https://www.boe.es/gazeta/dias/1807/12/11/pdfs/GMD-1807-110.pdf#page=10","Abrir facsímil")</f>
        <v>Abrir facsímil</v>
      </c>
      <c r="K3149" s="15" t="s">
        <v>22</v>
      </c>
    </row>
    <row r="3150" spans="1:11" ht="42" customHeight="1">
      <c r="A3150" s="4" t="s">
        <v>7264</v>
      </c>
      <c r="B3150" s="5" t="s">
        <v>7264</v>
      </c>
      <c r="C3150" s="5" t="s">
        <v>34</v>
      </c>
      <c r="D3150" s="5" t="s">
        <v>35</v>
      </c>
      <c r="E3150" s="5" t="s">
        <v>384</v>
      </c>
      <c r="F3150" s="9">
        <v>111</v>
      </c>
      <c r="G3150" s="9">
        <v>1298</v>
      </c>
      <c r="H3150" s="5" t="s">
        <v>20</v>
      </c>
      <c r="I3150" s="5" t="s">
        <v>7302</v>
      </c>
      <c r="J3150" s="12" t="str">
        <f>HYPERLINK("https://www.boe.es/gazeta/dias/1807/12/15/pdfs/GMD-1807-111.pdf#page=10","Abrir facsímil")</f>
        <v>Abrir facsímil</v>
      </c>
      <c r="K3150" s="15" t="s">
        <v>22</v>
      </c>
    </row>
    <row r="3151" spans="1:11" ht="42" customHeight="1">
      <c r="A3151" s="4" t="s">
        <v>7264</v>
      </c>
      <c r="B3151" s="5" t="s">
        <v>7264</v>
      </c>
      <c r="C3151" s="5" t="s">
        <v>34</v>
      </c>
      <c r="D3151" s="5" t="s">
        <v>35</v>
      </c>
      <c r="E3151" s="5" t="s">
        <v>361</v>
      </c>
      <c r="F3151" s="9">
        <v>113</v>
      </c>
      <c r="G3151" s="9">
        <v>1323</v>
      </c>
      <c r="H3151" s="5" t="s">
        <v>20</v>
      </c>
      <c r="I3151" s="5" t="s">
        <v>7303</v>
      </c>
      <c r="J3151" s="12" t="str">
        <f>HYPERLINK("https://www.boe.es/gazeta/dias/1807/12/22/pdfs/GMD-1807-113.pdf#page=11","Abrir facsímil")</f>
        <v>Abrir facsímil</v>
      </c>
      <c r="K3151" s="15" t="s">
        <v>22</v>
      </c>
    </row>
    <row r="3152" spans="1:11" ht="42" customHeight="1">
      <c r="A3152" s="4" t="s">
        <v>7304</v>
      </c>
      <c r="B3152" s="5" t="s">
        <v>7305</v>
      </c>
      <c r="C3152" s="5" t="s">
        <v>34</v>
      </c>
      <c r="D3152" s="5" t="s">
        <v>35</v>
      </c>
      <c r="E3152" s="5" t="s">
        <v>104</v>
      </c>
      <c r="F3152" s="9">
        <v>25</v>
      </c>
      <c r="G3152" s="9">
        <v>300</v>
      </c>
      <c r="H3152" s="5" t="s">
        <v>20</v>
      </c>
      <c r="I3152" s="5" t="s">
        <v>7306</v>
      </c>
      <c r="J3152" s="12" t="str">
        <f>HYPERLINK("https://www.boe.es/gazeta/dias/1807/03/17/pdfs/GMD-1807-25.pdf#page=8","Abrir facsímil")</f>
        <v>Abrir facsímil</v>
      </c>
      <c r="K3152" s="15" t="s">
        <v>22</v>
      </c>
    </row>
    <row r="3153" spans="1:11" ht="42" customHeight="1">
      <c r="A3153" s="4" t="s">
        <v>7307</v>
      </c>
      <c r="B3153" s="5" t="s">
        <v>7308</v>
      </c>
      <c r="C3153" s="5" t="s">
        <v>69</v>
      </c>
      <c r="D3153" s="5" t="s">
        <v>70</v>
      </c>
      <c r="E3153" s="5" t="s">
        <v>71</v>
      </c>
      <c r="F3153" s="9">
        <v>35</v>
      </c>
      <c r="G3153" s="9" t="s">
        <v>1485</v>
      </c>
      <c r="H3153" s="5" t="s">
        <v>20</v>
      </c>
      <c r="I3153" s="5" t="s">
        <v>7309</v>
      </c>
      <c r="J3153" s="12" t="str">
        <f>HYPERLINK("https://www.boe.es/gazeta/dias/1807/04/21/pdfs/C00001-00004.pdf#page=4","Abrir facsímil")</f>
        <v>Abrir facsímil</v>
      </c>
      <c r="K3153" s="15" t="s">
        <v>22</v>
      </c>
    </row>
    <row r="3154" spans="1:11" ht="42" customHeight="1">
      <c r="A3154" s="4" t="s">
        <v>7310</v>
      </c>
      <c r="B3154" s="5" t="s">
        <v>7311</v>
      </c>
      <c r="C3154" s="5" t="s">
        <v>17</v>
      </c>
      <c r="D3154" s="5" t="s">
        <v>18</v>
      </c>
      <c r="E3154" s="5" t="s">
        <v>123</v>
      </c>
      <c r="F3154" s="9">
        <v>70</v>
      </c>
      <c r="G3154" s="9">
        <v>806</v>
      </c>
      <c r="H3154" s="5" t="s">
        <v>20</v>
      </c>
      <c r="I3154" s="5" t="s">
        <v>7312</v>
      </c>
      <c r="J3154" s="12" t="str">
        <f>HYPERLINK("https://www.boe.es/gazeta/dias/1807/08/04/pdfs/GMD-1807-70.pdf#page=10","Abrir facsímil")</f>
        <v>Abrir facsímil</v>
      </c>
      <c r="K3154" s="15" t="s">
        <v>22</v>
      </c>
    </row>
    <row r="3155" spans="1:11" ht="42" customHeight="1">
      <c r="A3155" s="4" t="s">
        <v>7313</v>
      </c>
      <c r="B3155" s="5" t="s">
        <v>7313</v>
      </c>
      <c r="C3155" s="5" t="s">
        <v>34</v>
      </c>
      <c r="D3155" s="5" t="s">
        <v>35</v>
      </c>
      <c r="E3155" s="5" t="s">
        <v>282</v>
      </c>
      <c r="F3155" s="9">
        <v>16</v>
      </c>
      <c r="G3155" s="9">
        <v>185</v>
      </c>
      <c r="H3155" s="5" t="s">
        <v>20</v>
      </c>
      <c r="I3155" s="5" t="s">
        <v>7314</v>
      </c>
      <c r="J3155" s="12" t="str">
        <f>HYPERLINK("https://www.boe.es/gazeta/dias/1807/02/17/pdfs/GMD-1807-16.pdf#page=9","Abrir facsímil")</f>
        <v>Abrir facsímil</v>
      </c>
      <c r="K3155" s="15" t="s">
        <v>22</v>
      </c>
    </row>
    <row r="3156" spans="1:11" ht="42" customHeight="1">
      <c r="A3156" s="4" t="s">
        <v>7315</v>
      </c>
      <c r="B3156" s="5" t="s">
        <v>7315</v>
      </c>
      <c r="C3156" s="5" t="s">
        <v>28</v>
      </c>
      <c r="D3156" s="5" t="s">
        <v>29</v>
      </c>
      <c r="E3156" s="5" t="s">
        <v>654</v>
      </c>
      <c r="F3156" s="9">
        <v>94</v>
      </c>
      <c r="G3156" s="9">
        <v>1091</v>
      </c>
      <c r="H3156" s="5" t="s">
        <v>20</v>
      </c>
      <c r="I3156" s="5" t="s">
        <v>7316</v>
      </c>
      <c r="J3156" s="12" t="str">
        <f>HYPERLINK("https://www.boe.es/gazeta/dias/1807/10/20/pdfs/GMD-1807-94.pdf#page=7","Abrir facsímil")</f>
        <v>Abrir facsímil</v>
      </c>
      <c r="K3156" s="15" t="s">
        <v>22</v>
      </c>
    </row>
    <row r="3157" spans="1:11" ht="42" customHeight="1">
      <c r="A3157" s="4" t="s">
        <v>7317</v>
      </c>
      <c r="B3157" s="5" t="s">
        <v>7317</v>
      </c>
      <c r="C3157" s="5" t="s">
        <v>17</v>
      </c>
      <c r="D3157" s="5" t="s">
        <v>18</v>
      </c>
      <c r="E3157" s="5" t="s">
        <v>208</v>
      </c>
      <c r="F3157" s="9">
        <v>42</v>
      </c>
      <c r="G3157" s="9">
        <v>505</v>
      </c>
      <c r="H3157" s="5" t="s">
        <v>20</v>
      </c>
      <c r="I3157" s="5" t="s">
        <v>7318</v>
      </c>
      <c r="J3157" s="12" t="str">
        <f>HYPERLINK("https://www.boe.es/gazeta/dias/1807/05/15/pdfs/GMD-1807-42.pdf#page=11","Abrir facsímil")</f>
        <v>Abrir facsímil</v>
      </c>
      <c r="K3157" s="15" t="s">
        <v>22</v>
      </c>
    </row>
    <row r="3158" spans="1:11" ht="42" customHeight="1">
      <c r="A3158" s="4" t="s">
        <v>7319</v>
      </c>
      <c r="B3158" s="5" t="s">
        <v>7319</v>
      </c>
      <c r="C3158" s="5" t="s">
        <v>24</v>
      </c>
      <c r="D3158" s="5" t="s">
        <v>18</v>
      </c>
      <c r="E3158" s="5" t="s">
        <v>91</v>
      </c>
      <c r="F3158" s="9">
        <v>109</v>
      </c>
      <c r="G3158" s="9">
        <v>1274</v>
      </c>
      <c r="H3158" s="5" t="s">
        <v>20</v>
      </c>
      <c r="I3158" s="5" t="s">
        <v>7320</v>
      </c>
      <c r="J3158" s="12" t="str">
        <f>HYPERLINK("https://www.boe.es/gazeta/dias/1807/12/08/pdfs/GMD-1807-109.pdf#page=10","Abrir facsímil")</f>
        <v>Abrir facsímil</v>
      </c>
      <c r="K3158" s="15" t="s">
        <v>22</v>
      </c>
    </row>
    <row r="3159" spans="1:11" ht="42" customHeight="1">
      <c r="A3159" s="4" t="s">
        <v>7321</v>
      </c>
      <c r="B3159" s="5" t="s">
        <v>7322</v>
      </c>
      <c r="C3159" s="5" t="s">
        <v>34</v>
      </c>
      <c r="D3159" s="5" t="s">
        <v>35</v>
      </c>
      <c r="E3159" s="5" t="s">
        <v>305</v>
      </c>
      <c r="F3159" s="9">
        <v>53</v>
      </c>
      <c r="G3159" s="9">
        <v>634</v>
      </c>
      <c r="H3159" s="5" t="s">
        <v>20</v>
      </c>
      <c r="I3159" s="5" t="s">
        <v>7323</v>
      </c>
      <c r="J3159" s="12" t="str">
        <f>HYPERLINK("https://www.boe.es/gazeta/dias/1807/06/23/pdfs/GMD-1807-53.pdf#page=8","Abrir facsímil")</f>
        <v>Abrir facsímil</v>
      </c>
      <c r="K3159" s="15" t="s">
        <v>22</v>
      </c>
    </row>
    <row r="3160" spans="1:11" ht="42" customHeight="1">
      <c r="A3160" s="4" t="s">
        <v>7324</v>
      </c>
      <c r="B3160" s="5" t="s">
        <v>7325</v>
      </c>
      <c r="C3160" s="5" t="s">
        <v>17</v>
      </c>
      <c r="D3160" s="5" t="s">
        <v>18</v>
      </c>
      <c r="E3160" s="5" t="s">
        <v>91</v>
      </c>
      <c r="F3160" s="9">
        <v>109</v>
      </c>
      <c r="G3160" s="9">
        <v>1272</v>
      </c>
      <c r="H3160" s="5" t="s">
        <v>20</v>
      </c>
      <c r="I3160" s="5" t="s">
        <v>7326</v>
      </c>
      <c r="J3160" s="12" t="str">
        <f>HYPERLINK("https://www.boe.es/gazeta/dias/1807/12/08/pdfs/GMD-1807-109.pdf#page=8","Abrir facsímil")</f>
        <v>Abrir facsímil</v>
      </c>
      <c r="K3160" s="15" t="s">
        <v>22</v>
      </c>
    </row>
    <row r="3161" spans="1:11" ht="42" customHeight="1">
      <c r="A3161" s="4" t="s">
        <v>7327</v>
      </c>
      <c r="B3161" s="5" t="s">
        <v>7328</v>
      </c>
      <c r="C3161" s="5" t="s">
        <v>34</v>
      </c>
      <c r="D3161" s="5" t="s">
        <v>35</v>
      </c>
      <c r="E3161" s="5" t="s">
        <v>30</v>
      </c>
      <c r="F3161" s="9">
        <v>13</v>
      </c>
      <c r="G3161" s="9">
        <v>149</v>
      </c>
      <c r="H3161" s="5" t="s">
        <v>20</v>
      </c>
      <c r="I3161" s="5" t="s">
        <v>7329</v>
      </c>
      <c r="J3161" s="12" t="str">
        <f>HYPERLINK("https://www.boe.es/gazeta/dias/1807/02/06/pdfs/GMD-1807-13.pdf#page=9","Abrir facsímil")</f>
        <v>Abrir facsímil</v>
      </c>
      <c r="K3161" s="15" t="s">
        <v>22</v>
      </c>
    </row>
    <row r="3162" spans="1:11" ht="42" customHeight="1">
      <c r="A3162" s="4" t="s">
        <v>7330</v>
      </c>
      <c r="B3162" s="5" t="s">
        <v>7331</v>
      </c>
      <c r="C3162" s="5" t="s">
        <v>89</v>
      </c>
      <c r="D3162" s="5" t="s">
        <v>90</v>
      </c>
      <c r="E3162" s="5" t="s">
        <v>534</v>
      </c>
      <c r="F3162" s="9" t="s">
        <v>535</v>
      </c>
      <c r="G3162" s="9">
        <v>102</v>
      </c>
      <c r="H3162" s="5" t="s">
        <v>20</v>
      </c>
      <c r="I3162" s="5" t="s">
        <v>7332</v>
      </c>
      <c r="J3162" s="12" t="str">
        <f>HYPERLINK("https://www.boe.es/gazeta/dias/1807/01/24/pdfs/GMD-1807-9E.pdf#page=6","Abrir facsímil")</f>
        <v>Abrir facsímil</v>
      </c>
      <c r="K3162" s="15" t="s">
        <v>22</v>
      </c>
    </row>
    <row r="3163" spans="1:11" ht="42" customHeight="1">
      <c r="A3163" s="4" t="s">
        <v>7330</v>
      </c>
      <c r="B3163" s="5" t="s">
        <v>7331</v>
      </c>
      <c r="C3163" s="5" t="s">
        <v>49</v>
      </c>
      <c r="D3163" s="5" t="s">
        <v>50</v>
      </c>
      <c r="E3163" s="5" t="s">
        <v>572</v>
      </c>
      <c r="F3163" s="9">
        <v>14</v>
      </c>
      <c r="G3163" s="9">
        <v>157</v>
      </c>
      <c r="H3163" s="5" t="s">
        <v>20</v>
      </c>
      <c r="I3163" s="5" t="s">
        <v>7333</v>
      </c>
      <c r="J3163" s="12" t="str">
        <f>HYPERLINK("https://www.boe.es/gazeta/dias/1807/02/10/pdfs/GMD-1807-14.pdf#page=5","Abrir facsímil")</f>
        <v>Abrir facsímil</v>
      </c>
      <c r="K3163" s="15" t="s">
        <v>22</v>
      </c>
    </row>
    <row r="3164" spans="1:11" ht="42" customHeight="1">
      <c r="A3164" s="4" t="s">
        <v>7334</v>
      </c>
      <c r="B3164" s="5" t="s">
        <v>7335</v>
      </c>
      <c r="C3164" s="5" t="s">
        <v>89</v>
      </c>
      <c r="D3164" s="5" t="s">
        <v>90</v>
      </c>
      <c r="E3164" s="5" t="s">
        <v>83</v>
      </c>
      <c r="F3164" s="9">
        <v>50</v>
      </c>
      <c r="G3164" s="9">
        <v>597</v>
      </c>
      <c r="H3164" s="5" t="s">
        <v>20</v>
      </c>
      <c r="I3164" s="5" t="s">
        <v>7336</v>
      </c>
      <c r="J3164" s="12" t="str">
        <f>HYPERLINK("https://www.boe.es/gazeta/dias/1807/06/12/pdfs/GMD-1807-50.pdf#page=11","Abrir facsímil")</f>
        <v>Abrir facsímil</v>
      </c>
      <c r="K3164" s="15" t="s">
        <v>22</v>
      </c>
    </row>
    <row r="3165" spans="1:11" ht="42" customHeight="1">
      <c r="A3165" s="4" t="s">
        <v>7337</v>
      </c>
      <c r="B3165" s="5" t="s">
        <v>7337</v>
      </c>
      <c r="C3165" s="5" t="s">
        <v>89</v>
      </c>
      <c r="D3165" s="5" t="s">
        <v>90</v>
      </c>
      <c r="E3165" s="5" t="s">
        <v>686</v>
      </c>
      <c r="F3165" s="9">
        <v>106</v>
      </c>
      <c r="G3165" s="9">
        <v>1240</v>
      </c>
      <c r="H3165" s="5" t="s">
        <v>20</v>
      </c>
      <c r="I3165" s="5" t="s">
        <v>7338</v>
      </c>
      <c r="J3165" s="12" t="str">
        <f>HYPERLINK("https://www.boe.es/gazeta/dias/1807/11/27/pdfs/GMD-1807-106.pdf#page=12","Abrir facsímil")</f>
        <v>Abrir facsímil</v>
      </c>
      <c r="K3165" s="15" t="s">
        <v>22</v>
      </c>
    </row>
    <row r="3166" spans="1:11" ht="42" customHeight="1">
      <c r="A3166" s="4" t="s">
        <v>7339</v>
      </c>
      <c r="B3166" s="5" t="s">
        <v>7339</v>
      </c>
      <c r="C3166" s="5" t="s">
        <v>49</v>
      </c>
      <c r="D3166" s="5" t="s">
        <v>50</v>
      </c>
      <c r="E3166" s="5" t="s">
        <v>131</v>
      </c>
      <c r="F3166" s="9">
        <v>28</v>
      </c>
      <c r="G3166" s="9">
        <v>330</v>
      </c>
      <c r="H3166" s="5" t="s">
        <v>20</v>
      </c>
      <c r="I3166" s="5" t="s">
        <v>7340</v>
      </c>
      <c r="J3166" s="12" t="str">
        <f>HYPERLINK("https://www.boe.es/gazeta/dias/1807/03/27/pdfs/GMD-1807-28.pdf#page=2","Abrir facsímil")</f>
        <v>Abrir facsímil</v>
      </c>
      <c r="K3166" s="15" t="s">
        <v>22</v>
      </c>
    </row>
    <row r="3167" spans="1:11" ht="42" customHeight="1">
      <c r="A3167" s="4" t="s">
        <v>7341</v>
      </c>
      <c r="B3167" s="5" t="s">
        <v>7342</v>
      </c>
      <c r="C3167" s="5" t="s">
        <v>49</v>
      </c>
      <c r="D3167" s="5" t="s">
        <v>50</v>
      </c>
      <c r="E3167" s="5" t="s">
        <v>30</v>
      </c>
      <c r="F3167" s="9">
        <v>13</v>
      </c>
      <c r="G3167" s="9">
        <v>141</v>
      </c>
      <c r="H3167" s="5" t="s">
        <v>20</v>
      </c>
      <c r="I3167" s="5" t="s">
        <v>7343</v>
      </c>
      <c r="J3167" s="12" t="str">
        <f>HYPERLINK("https://www.boe.es/gazeta/dias/1807/02/06/pdfs/GMD-1807-13.pdf#page=1","Abrir facsímil")</f>
        <v>Abrir facsímil</v>
      </c>
      <c r="K3167" s="15" t="s">
        <v>22</v>
      </c>
    </row>
    <row r="3168" spans="1:11" ht="42" customHeight="1">
      <c r="A3168" s="4" t="s">
        <v>7344</v>
      </c>
      <c r="B3168" s="5" t="s">
        <v>7345</v>
      </c>
      <c r="C3168" s="5" t="s">
        <v>252</v>
      </c>
      <c r="D3168" s="5" t="s">
        <v>253</v>
      </c>
      <c r="E3168" s="5" t="s">
        <v>314</v>
      </c>
      <c r="F3168" s="9" t="s">
        <v>315</v>
      </c>
      <c r="G3168" s="9">
        <v>1217</v>
      </c>
      <c r="H3168" s="5" t="s">
        <v>20</v>
      </c>
      <c r="I3168" s="5" t="s">
        <v>7346</v>
      </c>
      <c r="J3168" s="12" t="str">
        <f>HYPERLINK("https://www.boe.es/gazeta/dias/1807/11/26/pdfs/GMD-1807-105E.pdf#page=1","Abrir facsímil")</f>
        <v>Abrir facsímil</v>
      </c>
      <c r="K3168" s="15" t="s">
        <v>22</v>
      </c>
    </row>
    <row r="3169" spans="1:11" ht="42" customHeight="1">
      <c r="A3169" s="4" t="s">
        <v>7347</v>
      </c>
      <c r="B3169" s="5" t="s">
        <v>7348</v>
      </c>
      <c r="C3169" s="5" t="s">
        <v>49</v>
      </c>
      <c r="D3169" s="5" t="s">
        <v>50</v>
      </c>
      <c r="E3169" s="5" t="s">
        <v>46</v>
      </c>
      <c r="F3169" s="9">
        <v>78</v>
      </c>
      <c r="G3169" s="9">
        <v>898</v>
      </c>
      <c r="H3169" s="5" t="s">
        <v>20</v>
      </c>
      <c r="I3169" s="5" t="s">
        <v>7349</v>
      </c>
      <c r="J3169" s="12" t="str">
        <f>HYPERLINK("https://www.boe.es/gazeta/dias/1807/09/01/pdfs/GMD-1807-78.pdf#page=2","Abrir facsímil")</f>
        <v>Abrir facsímil</v>
      </c>
      <c r="K3169" s="15" t="s">
        <v>22</v>
      </c>
    </row>
    <row r="3170" spans="1:11" ht="42" customHeight="1">
      <c r="A3170" s="4" t="s">
        <v>7350</v>
      </c>
      <c r="B3170" s="5" t="s">
        <v>7350</v>
      </c>
      <c r="C3170" s="5" t="s">
        <v>49</v>
      </c>
      <c r="D3170" s="5" t="s">
        <v>50</v>
      </c>
      <c r="E3170" s="5" t="s">
        <v>461</v>
      </c>
      <c r="F3170" s="9">
        <v>99</v>
      </c>
      <c r="G3170" s="9">
        <v>1146</v>
      </c>
      <c r="H3170" s="5" t="s">
        <v>20</v>
      </c>
      <c r="I3170" s="5" t="s">
        <v>7351</v>
      </c>
      <c r="J3170" s="12" t="str">
        <f>HYPERLINK("https://www.boe.es/gazeta/dias/1807/11/06/pdfs/GMD-1807-99.pdf#page=2","Abrir facsímil")</f>
        <v>Abrir facsímil</v>
      </c>
      <c r="K3170" s="15" t="s">
        <v>22</v>
      </c>
    </row>
    <row r="3171" spans="1:11" ht="42" customHeight="1">
      <c r="A3171" s="4" t="s">
        <v>7352</v>
      </c>
      <c r="B3171" s="5" t="s">
        <v>7353</v>
      </c>
      <c r="C3171" s="5" t="s">
        <v>252</v>
      </c>
      <c r="D3171" s="5" t="s">
        <v>253</v>
      </c>
      <c r="E3171" s="5" t="s">
        <v>215</v>
      </c>
      <c r="F3171" s="9" t="s">
        <v>517</v>
      </c>
      <c r="G3171" s="9">
        <v>64</v>
      </c>
      <c r="H3171" s="5" t="s">
        <v>20</v>
      </c>
      <c r="I3171" s="5" t="s">
        <v>7354</v>
      </c>
      <c r="J3171" s="12" t="str">
        <f>HYPERLINK("https://www.boe.es/gazeta/dias/1807/01/16/pdfs/GMD-1807-6E.pdf#page=4","Abrir facsímil")</f>
        <v>Abrir facsímil</v>
      </c>
      <c r="K3171" s="15" t="s">
        <v>22</v>
      </c>
    </row>
    <row r="3172" spans="1:11" ht="42" customHeight="1">
      <c r="A3172" s="4" t="s">
        <v>7352</v>
      </c>
      <c r="B3172" s="5" t="s">
        <v>7353</v>
      </c>
      <c r="C3172" s="5" t="s">
        <v>252</v>
      </c>
      <c r="D3172" s="5" t="s">
        <v>253</v>
      </c>
      <c r="E3172" s="5" t="s">
        <v>215</v>
      </c>
      <c r="F3172" s="9" t="s">
        <v>517</v>
      </c>
      <c r="G3172" s="9">
        <v>67</v>
      </c>
      <c r="H3172" s="5" t="s">
        <v>20</v>
      </c>
      <c r="I3172" s="5" t="s">
        <v>7355</v>
      </c>
      <c r="J3172" s="12" t="str">
        <f>HYPERLINK("https://www.boe.es/gazeta/dias/1807/01/16/pdfs/GMD-1807-6E.pdf#page=7","Abrir facsímil")</f>
        <v>Abrir facsímil</v>
      </c>
      <c r="K3172" s="15" t="s">
        <v>22</v>
      </c>
    </row>
    <row r="3173" spans="1:11" ht="42" customHeight="1">
      <c r="A3173" s="4" t="s">
        <v>7352</v>
      </c>
      <c r="B3173" s="5" t="s">
        <v>7353</v>
      </c>
      <c r="C3173" s="5" t="s">
        <v>28</v>
      </c>
      <c r="D3173" s="5" t="s">
        <v>29</v>
      </c>
      <c r="E3173" s="5" t="s">
        <v>76</v>
      </c>
      <c r="F3173" s="9">
        <v>7</v>
      </c>
      <c r="G3173" s="9">
        <v>77</v>
      </c>
      <c r="H3173" s="5" t="s">
        <v>20</v>
      </c>
      <c r="I3173" s="5" t="s">
        <v>7356</v>
      </c>
      <c r="J3173" s="12" t="str">
        <f>HYPERLINK("https://www.boe.es/gazeta/dias/1807/01/20/pdfs/GMD-1807-7.pdf#page=9","Abrir facsímil")</f>
        <v>Abrir facsímil</v>
      </c>
      <c r="K3173" s="15" t="s">
        <v>22</v>
      </c>
    </row>
    <row r="3174" spans="1:11" ht="42" customHeight="1">
      <c r="A3174" s="4" t="s">
        <v>7357</v>
      </c>
      <c r="B3174" s="5" t="s">
        <v>7358</v>
      </c>
      <c r="C3174" s="5" t="s">
        <v>89</v>
      </c>
      <c r="D3174" s="5" t="s">
        <v>90</v>
      </c>
      <c r="E3174" s="5" t="s">
        <v>186</v>
      </c>
      <c r="F3174" s="9">
        <v>72</v>
      </c>
      <c r="G3174" s="9">
        <v>832</v>
      </c>
      <c r="H3174" s="5" t="s">
        <v>20</v>
      </c>
      <c r="I3174" s="5" t="s">
        <v>7359</v>
      </c>
      <c r="J3174" s="12" t="str">
        <f>HYPERLINK("https://www.boe.es/gazeta/dias/1807/08/11/pdfs/GMD-1807-72.pdf#page=12","Abrir facsímil")</f>
        <v>Abrir facsímil</v>
      </c>
      <c r="K3174" s="15" t="s">
        <v>22</v>
      </c>
    </row>
    <row r="3175" spans="1:11" ht="42" customHeight="1">
      <c r="A3175" s="4" t="s">
        <v>7357</v>
      </c>
      <c r="B3175" s="5" t="s">
        <v>7358</v>
      </c>
      <c r="C3175" s="5" t="s">
        <v>28</v>
      </c>
      <c r="D3175" s="5" t="s">
        <v>29</v>
      </c>
      <c r="E3175" s="5" t="s">
        <v>186</v>
      </c>
      <c r="F3175" s="9">
        <v>72</v>
      </c>
      <c r="G3175" s="9">
        <v>833</v>
      </c>
      <c r="H3175" s="5" t="s">
        <v>20</v>
      </c>
      <c r="I3175" s="5" t="s">
        <v>7360</v>
      </c>
      <c r="J3175" s="12" t="str">
        <f>HYPERLINK("https://www.boe.es/gazeta/dias/1807/08/11/pdfs/GMD-1807-72.pdf#page=13","Abrir facsímil")</f>
        <v>Abrir facsímil</v>
      </c>
      <c r="K3175" s="15" t="s">
        <v>22</v>
      </c>
    </row>
    <row r="3176" spans="1:11" ht="42" customHeight="1">
      <c r="A3176" s="4" t="s">
        <v>7357</v>
      </c>
      <c r="B3176" s="5" t="s">
        <v>7358</v>
      </c>
      <c r="C3176" s="5" t="s">
        <v>252</v>
      </c>
      <c r="D3176" s="5" t="s">
        <v>253</v>
      </c>
      <c r="E3176" s="5" t="s">
        <v>314</v>
      </c>
      <c r="F3176" s="9" t="s">
        <v>315</v>
      </c>
      <c r="G3176" s="9">
        <v>1223</v>
      </c>
      <c r="H3176" s="5" t="s">
        <v>20</v>
      </c>
      <c r="I3176" s="5" t="s">
        <v>7361</v>
      </c>
      <c r="J3176" s="12" t="str">
        <f>HYPERLINK("https://www.boe.es/gazeta/dias/1807/11/26/pdfs/GMD-1807-105E.pdf#page=7","Abrir facsímil")</f>
        <v>Abrir facsímil</v>
      </c>
      <c r="K3176" s="15" t="s">
        <v>22</v>
      </c>
    </row>
    <row r="3177" spans="1:11" ht="42" customHeight="1">
      <c r="A3177" s="4" t="s">
        <v>7357</v>
      </c>
      <c r="B3177" s="5" t="s">
        <v>7358</v>
      </c>
      <c r="C3177" s="5" t="s">
        <v>252</v>
      </c>
      <c r="D3177" s="5" t="s">
        <v>253</v>
      </c>
      <c r="E3177" s="5" t="s">
        <v>314</v>
      </c>
      <c r="F3177" s="9" t="s">
        <v>315</v>
      </c>
      <c r="G3177" s="9">
        <v>1224</v>
      </c>
      <c r="H3177" s="5" t="s">
        <v>20</v>
      </c>
      <c r="I3177" s="5" t="s">
        <v>7362</v>
      </c>
      <c r="J3177" s="12" t="str">
        <f>HYPERLINK("https://www.boe.es/gazeta/dias/1807/11/26/pdfs/GMD-1807-105E.pdf#page=8","Abrir facsímil")</f>
        <v>Abrir facsímil</v>
      </c>
      <c r="K3177" s="15" t="s">
        <v>22</v>
      </c>
    </row>
    <row r="3178" spans="1:11" ht="42" customHeight="1">
      <c r="A3178" s="4" t="s">
        <v>7357</v>
      </c>
      <c r="B3178" s="5" t="s">
        <v>7358</v>
      </c>
      <c r="C3178" s="5" t="s">
        <v>24</v>
      </c>
      <c r="D3178" s="5" t="s">
        <v>18</v>
      </c>
      <c r="E3178" s="5" t="s">
        <v>314</v>
      </c>
      <c r="F3178" s="9" t="s">
        <v>315</v>
      </c>
      <c r="G3178" s="9">
        <v>1225</v>
      </c>
      <c r="H3178" s="5" t="s">
        <v>20</v>
      </c>
      <c r="I3178" s="5" t="s">
        <v>7363</v>
      </c>
      <c r="J3178" s="12" t="str">
        <f>HYPERLINK("https://www.boe.es/gazeta/dias/1807/11/26/pdfs/GMD-1807-105E.pdf#page=9","Abrir facsímil")</f>
        <v>Abrir facsímil</v>
      </c>
      <c r="K3178" s="15" t="s">
        <v>22</v>
      </c>
    </row>
    <row r="3179" spans="1:11" ht="42" customHeight="1">
      <c r="A3179" s="4" t="s">
        <v>7364</v>
      </c>
      <c r="B3179" s="5" t="s">
        <v>7364</v>
      </c>
      <c r="C3179" s="5" t="s">
        <v>34</v>
      </c>
      <c r="D3179" s="5" t="s">
        <v>35</v>
      </c>
      <c r="E3179" s="5" t="s">
        <v>120</v>
      </c>
      <c r="F3179" s="9">
        <v>10</v>
      </c>
      <c r="G3179" s="9">
        <v>108</v>
      </c>
      <c r="H3179" s="5" t="s">
        <v>20</v>
      </c>
      <c r="I3179" s="5" t="s">
        <v>7365</v>
      </c>
      <c r="J3179" s="12" t="str">
        <f>HYPERLINK("https://www.boe.es/gazeta/dias/1807/01/27/pdfs/GMD-1807-10.pdf#page=4","Abrir facsímil")</f>
        <v>Abrir facsímil</v>
      </c>
      <c r="K3179" s="15" t="s">
        <v>22</v>
      </c>
    </row>
    <row r="3180" spans="1:11" ht="42" customHeight="1">
      <c r="A3180" s="4" t="s">
        <v>7366</v>
      </c>
      <c r="B3180" s="5" t="s">
        <v>7366</v>
      </c>
      <c r="C3180" s="5" t="s">
        <v>49</v>
      </c>
      <c r="D3180" s="5" t="s">
        <v>50</v>
      </c>
      <c r="E3180" s="5" t="s">
        <v>221</v>
      </c>
      <c r="F3180" s="9">
        <v>73</v>
      </c>
      <c r="G3180" s="9">
        <v>839</v>
      </c>
      <c r="H3180" s="5" t="s">
        <v>20</v>
      </c>
      <c r="I3180" s="5" t="s">
        <v>7367</v>
      </c>
      <c r="J3180" s="12" t="str">
        <f>HYPERLINK("https://www.boe.es/gazeta/dias/1807/08/14/pdfs/GMD-1807-73.pdf#page=3","Abrir facsímil")</f>
        <v>Abrir facsímil</v>
      </c>
      <c r="K3180" s="15" t="s">
        <v>22</v>
      </c>
    </row>
    <row r="3181" spans="1:11" ht="42" customHeight="1">
      <c r="A3181" s="4" t="s">
        <v>7368</v>
      </c>
      <c r="B3181" s="5" t="s">
        <v>7369</v>
      </c>
      <c r="C3181" s="5" t="s">
        <v>34</v>
      </c>
      <c r="D3181" s="5" t="s">
        <v>35</v>
      </c>
      <c r="E3181" s="5" t="s">
        <v>120</v>
      </c>
      <c r="F3181" s="9">
        <v>10</v>
      </c>
      <c r="G3181" s="9">
        <v>112</v>
      </c>
      <c r="H3181" s="5" t="s">
        <v>20</v>
      </c>
      <c r="I3181" s="5" t="s">
        <v>7370</v>
      </c>
      <c r="J3181" s="12" t="str">
        <f>HYPERLINK("https://www.boe.es/gazeta/dias/1807/01/27/pdfs/GMD-1807-10.pdf#page=8","Abrir facsímil")</f>
        <v>Abrir facsímil</v>
      </c>
      <c r="K3181" s="15" t="s">
        <v>22</v>
      </c>
    </row>
    <row r="3182" spans="1:11" ht="42" customHeight="1">
      <c r="A3182" s="4" t="s">
        <v>7371</v>
      </c>
      <c r="B3182" s="5" t="s">
        <v>7372</v>
      </c>
      <c r="C3182" s="5" t="s">
        <v>24</v>
      </c>
      <c r="D3182" s="5" t="s">
        <v>18</v>
      </c>
      <c r="E3182" s="5" t="s">
        <v>111</v>
      </c>
      <c r="F3182" s="9">
        <v>90</v>
      </c>
      <c r="G3182" s="9">
        <v>1047</v>
      </c>
      <c r="H3182" s="5" t="s">
        <v>20</v>
      </c>
      <c r="I3182" s="5" t="s">
        <v>7373</v>
      </c>
      <c r="J3182" s="12" t="str">
        <f>HYPERLINK("https://www.boe.es/gazeta/dias/1807/10/06/pdfs/GMD-1807-90.pdf#page=15","Abrir facsímil")</f>
        <v>Abrir facsímil</v>
      </c>
      <c r="K3182" s="15" t="s">
        <v>22</v>
      </c>
    </row>
    <row r="3183" spans="1:11" ht="42" customHeight="1">
      <c r="A3183" s="4" t="s">
        <v>7374</v>
      </c>
      <c r="B3183" s="5" t="s">
        <v>7375</v>
      </c>
      <c r="C3183" s="5" t="s">
        <v>28</v>
      </c>
      <c r="D3183" s="5" t="s">
        <v>29</v>
      </c>
      <c r="E3183" s="5" t="s">
        <v>426</v>
      </c>
      <c r="F3183" s="9">
        <v>93</v>
      </c>
      <c r="G3183" s="9">
        <v>1083</v>
      </c>
      <c r="H3183" s="5" t="s">
        <v>20</v>
      </c>
      <c r="I3183" s="5" t="s">
        <v>7376</v>
      </c>
      <c r="J3183" s="12" t="str">
        <f>HYPERLINK("https://www.boe.es/gazeta/dias/1807/10/16/pdfs/GMD-1807-93.pdf#page=11","Abrir facsímil")</f>
        <v>Abrir facsímil</v>
      </c>
      <c r="K3183" s="15" t="s">
        <v>22</v>
      </c>
    </row>
    <row r="3184" spans="1:11" ht="42" customHeight="1">
      <c r="A3184" s="4" t="s">
        <v>7377</v>
      </c>
      <c r="B3184" s="5" t="s">
        <v>7378</v>
      </c>
      <c r="C3184" s="5" t="s">
        <v>28</v>
      </c>
      <c r="D3184" s="5" t="s">
        <v>29</v>
      </c>
      <c r="E3184" s="5" t="s">
        <v>346</v>
      </c>
      <c r="F3184" s="9">
        <v>21</v>
      </c>
      <c r="G3184" s="9">
        <v>245</v>
      </c>
      <c r="H3184" s="5" t="s">
        <v>20</v>
      </c>
      <c r="I3184" s="5" t="s">
        <v>7379</v>
      </c>
      <c r="J3184" s="12" t="str">
        <f>HYPERLINK("https://www.boe.es/gazeta/dias/1807/03/03/pdfs/GMD-1807-21.pdf#page=9","Abrir facsímil")</f>
        <v>Abrir facsímil</v>
      </c>
      <c r="K3184" s="15" t="s">
        <v>22</v>
      </c>
    </row>
    <row r="3185" spans="1:11" ht="42" customHeight="1">
      <c r="A3185" s="4" t="s">
        <v>7380</v>
      </c>
      <c r="B3185" s="5" t="s">
        <v>7381</v>
      </c>
      <c r="C3185" s="5" t="s">
        <v>28</v>
      </c>
      <c r="D3185" s="5" t="s">
        <v>29</v>
      </c>
      <c r="E3185" s="5" t="s">
        <v>208</v>
      </c>
      <c r="F3185" s="9">
        <v>42</v>
      </c>
      <c r="G3185" s="9">
        <v>502</v>
      </c>
      <c r="H3185" s="5" t="s">
        <v>20</v>
      </c>
      <c r="I3185" s="5" t="s">
        <v>7382</v>
      </c>
      <c r="J3185" s="12" t="str">
        <f>HYPERLINK("https://www.boe.es/gazeta/dias/1807/05/15/pdfs/GMD-1807-42.pdf#page=8","Abrir facsímil")</f>
        <v>Abrir facsímil</v>
      </c>
      <c r="K3185" s="15" t="s">
        <v>22</v>
      </c>
    </row>
    <row r="3186" spans="1:11" ht="42" customHeight="1">
      <c r="A3186" s="4" t="s">
        <v>7383</v>
      </c>
      <c r="B3186" s="5" t="s">
        <v>7384</v>
      </c>
      <c r="C3186" s="5" t="s">
        <v>17</v>
      </c>
      <c r="D3186" s="5" t="s">
        <v>18</v>
      </c>
      <c r="E3186" s="5" t="s">
        <v>595</v>
      </c>
      <c r="F3186" s="9">
        <v>59</v>
      </c>
      <c r="G3186" s="9">
        <v>702</v>
      </c>
      <c r="H3186" s="5" t="s">
        <v>20</v>
      </c>
      <c r="I3186" s="5" t="s">
        <v>7385</v>
      </c>
      <c r="J3186" s="12" t="str">
        <f>HYPERLINK("https://www.boe.es/gazeta/dias/1807/07/10/pdfs/GMD-1807-59.pdf#page=8","Abrir facsímil")</f>
        <v>Abrir facsímil</v>
      </c>
      <c r="K3186" s="15" t="s">
        <v>22</v>
      </c>
    </row>
    <row r="3187" spans="1:11" ht="42" customHeight="1">
      <c r="A3187" s="4" t="s">
        <v>7386</v>
      </c>
      <c r="B3187" s="5" t="s">
        <v>7387</v>
      </c>
      <c r="C3187" s="5" t="s">
        <v>34</v>
      </c>
      <c r="D3187" s="5" t="s">
        <v>35</v>
      </c>
      <c r="E3187" s="5" t="s">
        <v>266</v>
      </c>
      <c r="F3187" s="9">
        <v>67</v>
      </c>
      <c r="G3187" s="9">
        <v>771</v>
      </c>
      <c r="H3187" s="5" t="s">
        <v>20</v>
      </c>
      <c r="I3187" s="5" t="s">
        <v>7388</v>
      </c>
      <c r="J3187" s="12" t="str">
        <f>HYPERLINK("https://www.boe.es/gazeta/dias/1807/07/28/pdfs/GMD-1807-67.pdf#page=7","Abrir facsímil")</f>
        <v>Abrir facsímil</v>
      </c>
      <c r="K3187" s="15" t="s">
        <v>22</v>
      </c>
    </row>
    <row r="3188" spans="1:11" ht="42" customHeight="1">
      <c r="A3188" s="4" t="s">
        <v>7389</v>
      </c>
      <c r="B3188" s="5" t="s">
        <v>7390</v>
      </c>
      <c r="C3188" s="5" t="s">
        <v>28</v>
      </c>
      <c r="D3188" s="5" t="s">
        <v>29</v>
      </c>
      <c r="E3188" s="5" t="s">
        <v>266</v>
      </c>
      <c r="F3188" s="9">
        <v>67</v>
      </c>
      <c r="G3188" s="9">
        <v>771</v>
      </c>
      <c r="H3188" s="5" t="s">
        <v>20</v>
      </c>
      <c r="I3188" s="5" t="s">
        <v>7391</v>
      </c>
      <c r="J3188" s="12" t="str">
        <f>HYPERLINK("https://www.boe.es/gazeta/dias/1807/07/28/pdfs/GMD-1807-67.pdf#page=7","Abrir facsímil")</f>
        <v>Abrir facsímil</v>
      </c>
      <c r="K3188" s="15" t="s">
        <v>22</v>
      </c>
    </row>
    <row r="3189" spans="1:11" ht="42" customHeight="1">
      <c r="A3189" s="4" t="s">
        <v>7392</v>
      </c>
      <c r="B3189" s="5" t="s">
        <v>7393</v>
      </c>
      <c r="C3189" s="5" t="s">
        <v>69</v>
      </c>
      <c r="D3189" s="5" t="s">
        <v>70</v>
      </c>
      <c r="E3189" s="5" t="s">
        <v>71</v>
      </c>
      <c r="F3189" s="9">
        <v>35</v>
      </c>
      <c r="G3189" s="9" t="s">
        <v>1485</v>
      </c>
      <c r="H3189" s="5" t="s">
        <v>20</v>
      </c>
      <c r="I3189" s="5" t="s">
        <v>7394</v>
      </c>
      <c r="J3189" s="12" t="str">
        <f>HYPERLINK("https://www.boe.es/gazeta/dias/1807/04/21/pdfs/C00001-00004.pdf#page=4","Abrir facsímil")</f>
        <v>Abrir facsímil</v>
      </c>
      <c r="K3189" s="15" t="s">
        <v>22</v>
      </c>
    </row>
    <row r="3190" spans="1:11" ht="42" customHeight="1">
      <c r="A3190" s="4" t="s">
        <v>7395</v>
      </c>
      <c r="B3190" s="5" t="s">
        <v>7396</v>
      </c>
      <c r="C3190" s="5" t="s">
        <v>69</v>
      </c>
      <c r="D3190" s="5" t="s">
        <v>70</v>
      </c>
      <c r="E3190" s="5" t="s">
        <v>71</v>
      </c>
      <c r="F3190" s="9">
        <v>35</v>
      </c>
      <c r="G3190" s="9" t="s">
        <v>72</v>
      </c>
      <c r="H3190" s="5" t="s">
        <v>20</v>
      </c>
      <c r="I3190" s="5" t="s">
        <v>7397</v>
      </c>
      <c r="J3190" s="12" t="str">
        <f>HYPERLINK("https://www.boe.es/gazeta/dias/1807/04/21/pdfs/C00001-00004.pdf#page=1","Abrir facsímil")</f>
        <v>Abrir facsímil</v>
      </c>
      <c r="K3190" s="15" t="s">
        <v>22</v>
      </c>
    </row>
    <row r="3191" spans="1:11" ht="42" customHeight="1">
      <c r="A3191" s="4" t="s">
        <v>7398</v>
      </c>
      <c r="B3191" s="5" t="s">
        <v>7399</v>
      </c>
      <c r="C3191" s="5" t="s">
        <v>89</v>
      </c>
      <c r="D3191" s="5" t="s">
        <v>90</v>
      </c>
      <c r="E3191" s="5" t="s">
        <v>42</v>
      </c>
      <c r="F3191" s="9">
        <v>31</v>
      </c>
      <c r="G3191" s="9">
        <v>372</v>
      </c>
      <c r="H3191" s="5" t="s">
        <v>20</v>
      </c>
      <c r="I3191" s="5" t="s">
        <v>7400</v>
      </c>
      <c r="J3191" s="12" t="str">
        <f>HYPERLINK("https://www.boe.es/gazeta/dias/1807/04/07/pdfs/GMD-1807-31.pdf#page=12","Abrir facsímil")</f>
        <v>Abrir facsímil</v>
      </c>
      <c r="K3191" s="15" t="s">
        <v>22</v>
      </c>
    </row>
    <row r="3192" spans="1:11" ht="42" customHeight="1">
      <c r="A3192" s="4" t="s">
        <v>7401</v>
      </c>
      <c r="B3192" s="5" t="s">
        <v>7401</v>
      </c>
      <c r="C3192" s="5" t="s">
        <v>49</v>
      </c>
      <c r="D3192" s="5" t="s">
        <v>50</v>
      </c>
      <c r="E3192" s="5" t="s">
        <v>149</v>
      </c>
      <c r="F3192" s="9">
        <v>38</v>
      </c>
      <c r="G3192" s="9">
        <v>447</v>
      </c>
      <c r="H3192" s="5" t="s">
        <v>20</v>
      </c>
      <c r="I3192" s="5" t="s">
        <v>7402</v>
      </c>
      <c r="J3192" s="12" t="str">
        <f>HYPERLINK("https://www.boe.es/gazeta/dias/1807/05/01/pdfs/GMD-1807-38.pdf#page=3","Abrir facsímil")</f>
        <v>Abrir facsímil</v>
      </c>
      <c r="K3192" s="15" t="s">
        <v>22</v>
      </c>
    </row>
    <row r="3193" spans="1:11" ht="42" customHeight="1">
      <c r="A3193" s="4" t="s">
        <v>7403</v>
      </c>
      <c r="B3193" s="5" t="s">
        <v>7404</v>
      </c>
      <c r="C3193" s="5" t="s">
        <v>28</v>
      </c>
      <c r="D3193" s="5" t="s">
        <v>29</v>
      </c>
      <c r="E3193" s="5" t="s">
        <v>152</v>
      </c>
      <c r="F3193" s="9">
        <v>61</v>
      </c>
      <c r="G3193" s="9">
        <v>720</v>
      </c>
      <c r="H3193" s="5" t="s">
        <v>20</v>
      </c>
      <c r="I3193" s="5" t="s">
        <v>7405</v>
      </c>
      <c r="J3193" s="12" t="str">
        <f>HYPERLINK("https://www.boe.es/gazeta/dias/1807/07/14/pdfs/GMD-1807-61.pdf#page=6","Abrir facsímil")</f>
        <v>Abrir facsímil</v>
      </c>
      <c r="K3193" s="15" t="s">
        <v>22</v>
      </c>
    </row>
    <row r="3194" spans="1:11" ht="42" customHeight="1">
      <c r="A3194" s="4" t="s">
        <v>7406</v>
      </c>
      <c r="B3194" s="5" t="s">
        <v>7407</v>
      </c>
      <c r="C3194" s="5" t="s">
        <v>34</v>
      </c>
      <c r="D3194" s="5" t="s">
        <v>35</v>
      </c>
      <c r="E3194" s="5" t="s">
        <v>83</v>
      </c>
      <c r="F3194" s="9">
        <v>50</v>
      </c>
      <c r="G3194" s="9">
        <v>595</v>
      </c>
      <c r="H3194" s="5" t="s">
        <v>20</v>
      </c>
      <c r="I3194" s="5" t="s">
        <v>7408</v>
      </c>
      <c r="J3194" s="12" t="str">
        <f>HYPERLINK("https://www.boe.es/gazeta/dias/1807/06/12/pdfs/GMD-1807-50.pdf#page=9","Abrir facsímil")</f>
        <v>Abrir facsímil</v>
      </c>
      <c r="K3194" s="15" t="s">
        <v>22</v>
      </c>
    </row>
    <row r="3195" spans="1:11" ht="42" customHeight="1">
      <c r="A3195" s="4" t="s">
        <v>7409</v>
      </c>
      <c r="B3195" s="5" t="s">
        <v>7410</v>
      </c>
      <c r="C3195" s="5" t="s">
        <v>17</v>
      </c>
      <c r="D3195" s="5" t="s">
        <v>18</v>
      </c>
      <c r="E3195" s="5" t="s">
        <v>305</v>
      </c>
      <c r="F3195" s="9">
        <v>53</v>
      </c>
      <c r="G3195" s="9">
        <v>634</v>
      </c>
      <c r="H3195" s="5" t="s">
        <v>20</v>
      </c>
      <c r="I3195" s="5" t="s">
        <v>7411</v>
      </c>
      <c r="J3195" s="12" t="str">
        <f>HYPERLINK("https://www.boe.es/gazeta/dias/1807/06/23/pdfs/GMD-1807-53.pdf#page=8","Abrir facsímil")</f>
        <v>Abrir facsímil</v>
      </c>
      <c r="K3195" s="15" t="s">
        <v>22</v>
      </c>
    </row>
    <row r="3196" spans="1:11" ht="42" customHeight="1">
      <c r="A3196" s="4" t="s">
        <v>7412</v>
      </c>
      <c r="B3196" s="5" t="s">
        <v>7413</v>
      </c>
      <c r="C3196" s="5" t="s">
        <v>34</v>
      </c>
      <c r="D3196" s="5" t="s">
        <v>35</v>
      </c>
      <c r="E3196" s="5" t="s">
        <v>183</v>
      </c>
      <c r="F3196" s="9">
        <v>1</v>
      </c>
      <c r="G3196" s="9">
        <v>10</v>
      </c>
      <c r="H3196" s="5" t="s">
        <v>20</v>
      </c>
      <c r="I3196" s="5" t="s">
        <v>7414</v>
      </c>
      <c r="J3196" s="12" t="str">
        <f>HYPERLINK("https://www.boe.es/gazeta/dias/1807/01/02/pdfs/GMD-1807-1.pdf#page=10","Abrir facsímil")</f>
        <v>Abrir facsímil</v>
      </c>
      <c r="K3196" s="15" t="s">
        <v>22</v>
      </c>
    </row>
    <row r="3197" spans="1:11" ht="42" customHeight="1">
      <c r="A3197" s="4" t="s">
        <v>7415</v>
      </c>
      <c r="B3197" s="5" t="s">
        <v>7416</v>
      </c>
      <c r="C3197" s="5" t="s">
        <v>34</v>
      </c>
      <c r="D3197" s="5" t="s">
        <v>35</v>
      </c>
      <c r="E3197" s="5" t="s">
        <v>595</v>
      </c>
      <c r="F3197" s="9">
        <v>59</v>
      </c>
      <c r="G3197" s="9">
        <v>702</v>
      </c>
      <c r="H3197" s="5" t="s">
        <v>20</v>
      </c>
      <c r="I3197" s="5" t="s">
        <v>7417</v>
      </c>
      <c r="J3197" s="12" t="str">
        <f>HYPERLINK("https://www.boe.es/gazeta/dias/1807/07/10/pdfs/GMD-1807-59.pdf#page=8","Abrir facsímil")</f>
        <v>Abrir facsímil</v>
      </c>
      <c r="K3197" s="15" t="s">
        <v>22</v>
      </c>
    </row>
    <row r="3198" spans="1:11" ht="42" customHeight="1">
      <c r="A3198" s="4" t="s">
        <v>7418</v>
      </c>
      <c r="B3198" s="5" t="s">
        <v>7418</v>
      </c>
      <c r="C3198" s="5" t="s">
        <v>49</v>
      </c>
      <c r="D3198" s="5" t="s">
        <v>50</v>
      </c>
      <c r="E3198" s="5" t="s">
        <v>167</v>
      </c>
      <c r="F3198" s="9">
        <v>77</v>
      </c>
      <c r="G3198" s="9">
        <v>887</v>
      </c>
      <c r="H3198" s="5" t="s">
        <v>20</v>
      </c>
      <c r="I3198" s="5" t="s">
        <v>7419</v>
      </c>
      <c r="J3198" s="12" t="str">
        <f>HYPERLINK("https://www.boe.es/gazeta/dias/1807/08/28/pdfs/GMD-1807-77.pdf#page=3","Abrir facsímil")</f>
        <v>Abrir facsímil</v>
      </c>
      <c r="K3198" s="15" t="s">
        <v>22</v>
      </c>
    </row>
    <row r="3199" spans="1:11" ht="42" customHeight="1">
      <c r="A3199" s="4" t="s">
        <v>7418</v>
      </c>
      <c r="B3199" s="5" t="s">
        <v>7418</v>
      </c>
      <c r="C3199" s="5" t="s">
        <v>49</v>
      </c>
      <c r="D3199" s="5" t="s">
        <v>50</v>
      </c>
      <c r="E3199" s="5" t="s">
        <v>167</v>
      </c>
      <c r="F3199" s="9">
        <v>77</v>
      </c>
      <c r="G3199" s="9">
        <v>888</v>
      </c>
      <c r="H3199" s="5" t="s">
        <v>20</v>
      </c>
      <c r="I3199" s="5" t="s">
        <v>7420</v>
      </c>
      <c r="J3199" s="12" t="str">
        <f>HYPERLINK("https://www.boe.es/gazeta/dias/1807/08/28/pdfs/GMD-1807-77.pdf#page=4","Abrir facsímil")</f>
        <v>Abrir facsímil</v>
      </c>
      <c r="K3199" s="15" t="s">
        <v>22</v>
      </c>
    </row>
    <row r="3200" spans="1:11" ht="42" customHeight="1">
      <c r="A3200" s="4" t="s">
        <v>7421</v>
      </c>
      <c r="B3200" s="5" t="s">
        <v>7421</v>
      </c>
      <c r="C3200" s="5" t="s">
        <v>49</v>
      </c>
      <c r="D3200" s="5" t="s">
        <v>50</v>
      </c>
      <c r="E3200" s="5" t="s">
        <v>40</v>
      </c>
      <c r="F3200" s="9">
        <v>26</v>
      </c>
      <c r="G3200" s="9">
        <v>306</v>
      </c>
      <c r="H3200" s="5" t="s">
        <v>20</v>
      </c>
      <c r="I3200" s="5" t="s">
        <v>7422</v>
      </c>
      <c r="J3200" s="12" t="str">
        <f>HYPERLINK("https://www.boe.es/gazeta/dias/1807/03/20/pdfs/GMD-1807-26.pdf#page=2","Abrir facsímil")</f>
        <v>Abrir facsímil</v>
      </c>
      <c r="K3200" s="15" t="s">
        <v>22</v>
      </c>
    </row>
    <row r="3201" spans="1:11" ht="42" customHeight="1">
      <c r="A3201" s="4" t="s">
        <v>7423</v>
      </c>
      <c r="B3201" s="5" t="s">
        <v>7423</v>
      </c>
      <c r="C3201" s="5" t="s">
        <v>34</v>
      </c>
      <c r="D3201" s="5" t="s">
        <v>35</v>
      </c>
      <c r="E3201" s="5" t="s">
        <v>384</v>
      </c>
      <c r="F3201" s="9">
        <v>111</v>
      </c>
      <c r="G3201" s="9">
        <v>1292</v>
      </c>
      <c r="H3201" s="5" t="s">
        <v>20</v>
      </c>
      <c r="I3201" s="5" t="s">
        <v>7424</v>
      </c>
      <c r="J3201" s="12" t="str">
        <f>HYPERLINK("https://www.boe.es/gazeta/dias/1807/12/15/pdfs/GMD-1807-111.pdf#page=4","Abrir facsímil")</f>
        <v>Abrir facsímil</v>
      </c>
      <c r="K3201" s="15" t="s">
        <v>22</v>
      </c>
    </row>
    <row r="3202" spans="1:11" ht="42" customHeight="1">
      <c r="A3202" s="4" t="s">
        <v>7425</v>
      </c>
      <c r="B3202" s="5" t="s">
        <v>7425</v>
      </c>
      <c r="C3202" s="5" t="s">
        <v>49</v>
      </c>
      <c r="D3202" s="5" t="s">
        <v>50</v>
      </c>
      <c r="E3202" s="5" t="s">
        <v>40</v>
      </c>
      <c r="F3202" s="9">
        <v>26</v>
      </c>
      <c r="G3202" s="9">
        <v>306</v>
      </c>
      <c r="H3202" s="5" t="s">
        <v>20</v>
      </c>
      <c r="I3202" s="5" t="s">
        <v>7426</v>
      </c>
      <c r="J3202" s="12" t="str">
        <f>HYPERLINK("https://www.boe.es/gazeta/dias/1807/03/20/pdfs/GMD-1807-26.pdf#page=2","Abrir facsímil")</f>
        <v>Abrir facsímil</v>
      </c>
      <c r="K3202" s="15" t="s">
        <v>22</v>
      </c>
    </row>
    <row r="3203" spans="1:11" ht="42" customHeight="1">
      <c r="A3203" s="4" t="s">
        <v>7425</v>
      </c>
      <c r="B3203" s="5" t="s">
        <v>7425</v>
      </c>
      <c r="C3203" s="5" t="s">
        <v>28</v>
      </c>
      <c r="D3203" s="5" t="s">
        <v>29</v>
      </c>
      <c r="E3203" s="5" t="s">
        <v>98</v>
      </c>
      <c r="F3203" s="9">
        <v>34</v>
      </c>
      <c r="G3203" s="9">
        <v>402</v>
      </c>
      <c r="H3203" s="5" t="s">
        <v>20</v>
      </c>
      <c r="I3203" s="5" t="s">
        <v>7427</v>
      </c>
      <c r="J3203" s="12" t="str">
        <f>HYPERLINK("https://www.boe.es/gazeta/dias/1807/04/17/pdfs/GMD-1807-34.pdf#page=6","Abrir facsímil")</f>
        <v>Abrir facsímil</v>
      </c>
      <c r="K3203" s="15" t="s">
        <v>22</v>
      </c>
    </row>
    <row r="3204" spans="1:11" ht="42" customHeight="1">
      <c r="A3204" s="4" t="s">
        <v>7428</v>
      </c>
      <c r="B3204" s="5" t="s">
        <v>7429</v>
      </c>
      <c r="C3204" s="5" t="s">
        <v>89</v>
      </c>
      <c r="D3204" s="5" t="s">
        <v>90</v>
      </c>
      <c r="E3204" s="5" t="s">
        <v>530</v>
      </c>
      <c r="F3204" s="9">
        <v>79</v>
      </c>
      <c r="G3204" s="9">
        <v>924</v>
      </c>
      <c r="H3204" s="5" t="s">
        <v>20</v>
      </c>
      <c r="I3204" s="5" t="s">
        <v>7430</v>
      </c>
      <c r="J3204" s="12" t="str">
        <f>HYPERLINK("https://www.boe.es/gazeta/dias/1807/09/04/pdfs/GMD-1807-79.pdf#page=16","Abrir facsímil")</f>
        <v>Abrir facsímil</v>
      </c>
      <c r="K3204" s="15" t="s">
        <v>22</v>
      </c>
    </row>
    <row r="3205" spans="1:11" ht="42" customHeight="1">
      <c r="A3205" s="4" t="s">
        <v>7431</v>
      </c>
      <c r="B3205" s="5" t="s">
        <v>7432</v>
      </c>
      <c r="C3205" s="5" t="s">
        <v>34</v>
      </c>
      <c r="D3205" s="5" t="s">
        <v>35</v>
      </c>
      <c r="E3205" s="5" t="s">
        <v>561</v>
      </c>
      <c r="F3205" s="9">
        <v>44</v>
      </c>
      <c r="G3205" s="9">
        <v>524</v>
      </c>
      <c r="H3205" s="5" t="s">
        <v>20</v>
      </c>
      <c r="I3205" s="5" t="s">
        <v>7433</v>
      </c>
      <c r="J3205" s="12" t="str">
        <f>HYPERLINK("https://www.boe.es/gazeta/dias/1807/05/22/pdfs/GMD-1807-44.pdf#page=6","Abrir facsímil")</f>
        <v>Abrir facsímil</v>
      </c>
      <c r="K3205" s="15" t="s">
        <v>22</v>
      </c>
    </row>
    <row r="3206" spans="1:11" ht="42" customHeight="1">
      <c r="A3206" s="4" t="s">
        <v>7434</v>
      </c>
      <c r="B3206" s="5" t="s">
        <v>7435</v>
      </c>
      <c r="C3206" s="5" t="s">
        <v>28</v>
      </c>
      <c r="D3206" s="5" t="s">
        <v>29</v>
      </c>
      <c r="E3206" s="5" t="s">
        <v>111</v>
      </c>
      <c r="F3206" s="9">
        <v>90</v>
      </c>
      <c r="G3206" s="9">
        <v>1044</v>
      </c>
      <c r="H3206" s="5" t="s">
        <v>20</v>
      </c>
      <c r="I3206" s="5" t="s">
        <v>7436</v>
      </c>
      <c r="J3206" s="12" t="str">
        <f>HYPERLINK("https://www.boe.es/gazeta/dias/1807/10/06/pdfs/GMD-1807-90.pdf#page=12","Abrir facsímil")</f>
        <v>Abrir facsímil</v>
      </c>
      <c r="K3206" s="15" t="s">
        <v>22</v>
      </c>
    </row>
    <row r="3207" spans="1:11" ht="42" customHeight="1">
      <c r="A3207" s="4" t="s">
        <v>7437</v>
      </c>
      <c r="B3207" s="5" t="s">
        <v>7438</v>
      </c>
      <c r="C3207" s="5" t="s">
        <v>34</v>
      </c>
      <c r="D3207" s="5" t="s">
        <v>35</v>
      </c>
      <c r="E3207" s="5" t="s">
        <v>478</v>
      </c>
      <c r="F3207" s="9">
        <v>30</v>
      </c>
      <c r="G3207" s="9">
        <v>358</v>
      </c>
      <c r="H3207" s="5" t="s">
        <v>20</v>
      </c>
      <c r="I3207" s="5" t="s">
        <v>7439</v>
      </c>
      <c r="J3207" s="12" t="str">
        <f>HYPERLINK("https://www.boe.es/gazeta/dias/1807/04/03/pdfs/GMD-1807-30.pdf#page=10","Abrir facsímil")</f>
        <v>Abrir facsímil</v>
      </c>
      <c r="K3207" s="15" t="s">
        <v>22</v>
      </c>
    </row>
    <row r="3208" spans="1:11" ht="42" customHeight="1">
      <c r="A3208" s="4" t="s">
        <v>7440</v>
      </c>
      <c r="B3208" s="5" t="s">
        <v>7441</v>
      </c>
      <c r="C3208" s="5" t="s">
        <v>28</v>
      </c>
      <c r="D3208" s="5" t="s">
        <v>29</v>
      </c>
      <c r="E3208" s="5" t="s">
        <v>1354</v>
      </c>
      <c r="F3208" s="9">
        <v>83</v>
      </c>
      <c r="G3208" s="9">
        <v>970</v>
      </c>
      <c r="H3208" s="5" t="s">
        <v>20</v>
      </c>
      <c r="I3208" s="5" t="s">
        <v>7442</v>
      </c>
      <c r="J3208" s="12" t="str">
        <f>HYPERLINK("https://www.boe.es/gazeta/dias/1807/09/18/pdfs/GMD-1807-83.pdf#page=10","Abrir facsímil")</f>
        <v>Abrir facsímil</v>
      </c>
      <c r="K3208" s="15" t="s">
        <v>22</v>
      </c>
    </row>
    <row r="3209" spans="1:11" ht="42" customHeight="1">
      <c r="A3209" s="4" t="s">
        <v>7443</v>
      </c>
      <c r="B3209" s="5" t="s">
        <v>7444</v>
      </c>
      <c r="C3209" s="5" t="s">
        <v>34</v>
      </c>
      <c r="D3209" s="5" t="s">
        <v>35</v>
      </c>
      <c r="E3209" s="5" t="s">
        <v>123</v>
      </c>
      <c r="F3209" s="9">
        <v>70</v>
      </c>
      <c r="G3209" s="9">
        <v>806</v>
      </c>
      <c r="H3209" s="5" t="s">
        <v>20</v>
      </c>
      <c r="I3209" s="5" t="s">
        <v>7445</v>
      </c>
      <c r="J3209" s="12" t="str">
        <f>HYPERLINK("https://www.boe.es/gazeta/dias/1807/08/04/pdfs/GMD-1807-70.pdf#page=10","Abrir facsímil")</f>
        <v>Abrir facsímil</v>
      </c>
      <c r="K3209" s="15" t="s">
        <v>22</v>
      </c>
    </row>
    <row r="3210" spans="1:11" ht="42" customHeight="1">
      <c r="A3210" s="4" t="s">
        <v>7446</v>
      </c>
      <c r="B3210" s="5" t="s">
        <v>7447</v>
      </c>
      <c r="C3210" s="5" t="s">
        <v>24</v>
      </c>
      <c r="D3210" s="5" t="s">
        <v>18</v>
      </c>
      <c r="E3210" s="5" t="s">
        <v>135</v>
      </c>
      <c r="F3210" s="9">
        <v>80</v>
      </c>
      <c r="G3210" s="9">
        <v>936</v>
      </c>
      <c r="H3210" s="5" t="s">
        <v>20</v>
      </c>
      <c r="I3210" s="5" t="s">
        <v>7448</v>
      </c>
      <c r="J3210" s="12" t="str">
        <f>HYPERLINK("https://www.boe.es/gazeta/dias/1807/09/08/pdfs/GMD-1807-80.pdf#page=12","Abrir facsímil")</f>
        <v>Abrir facsímil</v>
      </c>
      <c r="K3210" s="15" t="s">
        <v>22</v>
      </c>
    </row>
    <row r="3211" spans="1:11" ht="42" customHeight="1">
      <c r="A3211" s="4" t="s">
        <v>7449</v>
      </c>
      <c r="B3211" s="5" t="s">
        <v>7450</v>
      </c>
      <c r="C3211" s="5" t="s">
        <v>17</v>
      </c>
      <c r="D3211" s="5" t="s">
        <v>18</v>
      </c>
      <c r="E3211" s="5" t="s">
        <v>176</v>
      </c>
      <c r="F3211" s="9">
        <v>17</v>
      </c>
      <c r="G3211" s="9">
        <v>199</v>
      </c>
      <c r="H3211" s="5" t="s">
        <v>20</v>
      </c>
      <c r="I3211" s="5" t="s">
        <v>7451</v>
      </c>
      <c r="J3211" s="12" t="str">
        <f>HYPERLINK("https://www.boe.es/gazeta/dias/1807/02/20/pdfs/GMD-1807-17.pdf#page=11","Abrir facsímil")</f>
        <v>Abrir facsímil</v>
      </c>
      <c r="K3211" s="15" t="s">
        <v>22</v>
      </c>
    </row>
    <row r="3212" spans="1:11" ht="42" customHeight="1">
      <c r="A3212" s="4" t="s">
        <v>7449</v>
      </c>
      <c r="B3212" s="5" t="s">
        <v>7450</v>
      </c>
      <c r="C3212" s="5" t="s">
        <v>24</v>
      </c>
      <c r="D3212" s="5" t="s">
        <v>18</v>
      </c>
      <c r="E3212" s="5" t="s">
        <v>2914</v>
      </c>
      <c r="F3212" s="9">
        <v>29</v>
      </c>
      <c r="G3212" s="9">
        <v>348</v>
      </c>
      <c r="H3212" s="5" t="s">
        <v>20</v>
      </c>
      <c r="I3212" s="5" t="s">
        <v>7452</v>
      </c>
      <c r="J3212" s="12" t="str">
        <f>HYPERLINK("https://www.boe.es/gazeta/dias/1807/03/31/pdfs/GMD-1807-29.pdf#page=12","Abrir facsímil")</f>
        <v>Abrir facsímil</v>
      </c>
      <c r="K3212" s="15" t="s">
        <v>22</v>
      </c>
    </row>
    <row r="3213" spans="1:11" ht="42" customHeight="1">
      <c r="A3213" s="4" t="s">
        <v>7449</v>
      </c>
      <c r="B3213" s="5" t="s">
        <v>7450</v>
      </c>
      <c r="C3213" s="5" t="s">
        <v>89</v>
      </c>
      <c r="D3213" s="5" t="s">
        <v>90</v>
      </c>
      <c r="E3213" s="5" t="s">
        <v>36</v>
      </c>
      <c r="F3213" s="9">
        <v>36</v>
      </c>
      <c r="G3213" s="9">
        <v>432</v>
      </c>
      <c r="H3213" s="5" t="s">
        <v>20</v>
      </c>
      <c r="I3213" s="5" t="s">
        <v>7453</v>
      </c>
      <c r="J3213" s="12" t="str">
        <f>HYPERLINK("https://www.boe.es/gazeta/dias/1807/04/24/pdfs/GMD-1807-36.pdf#page=12","Abrir facsímil")</f>
        <v>Abrir facsímil</v>
      </c>
      <c r="K3213" s="15" t="s">
        <v>22</v>
      </c>
    </row>
    <row r="3214" spans="1:11" ht="42" customHeight="1">
      <c r="A3214" s="4" t="s">
        <v>7449</v>
      </c>
      <c r="B3214" s="5" t="s">
        <v>7450</v>
      </c>
      <c r="C3214" s="5" t="s">
        <v>89</v>
      </c>
      <c r="D3214" s="5" t="s">
        <v>90</v>
      </c>
      <c r="E3214" s="5" t="s">
        <v>114</v>
      </c>
      <c r="F3214" s="9">
        <v>46</v>
      </c>
      <c r="G3214" s="9">
        <v>553</v>
      </c>
      <c r="H3214" s="5" t="s">
        <v>20</v>
      </c>
      <c r="I3214" s="5" t="s">
        <v>7454</v>
      </c>
      <c r="J3214" s="12" t="str">
        <f>HYPERLINK("https://www.boe.es/gazeta/dias/1807/05/29/pdfs/GMD-1807-46.pdf#page=11","Abrir facsímil")</f>
        <v>Abrir facsímil</v>
      </c>
      <c r="K3214" s="15" t="s">
        <v>22</v>
      </c>
    </row>
    <row r="3215" spans="1:11" ht="42" customHeight="1">
      <c r="A3215" s="4" t="s">
        <v>7449</v>
      </c>
      <c r="B3215" s="5" t="s">
        <v>7450</v>
      </c>
      <c r="C3215" s="5" t="s">
        <v>24</v>
      </c>
      <c r="D3215" s="5" t="s">
        <v>18</v>
      </c>
      <c r="E3215" s="5" t="s">
        <v>447</v>
      </c>
      <c r="F3215" s="9">
        <v>65</v>
      </c>
      <c r="G3215" s="9">
        <v>761</v>
      </c>
      <c r="H3215" s="5" t="s">
        <v>20</v>
      </c>
      <c r="I3215" s="5" t="s">
        <v>7455</v>
      </c>
      <c r="J3215" s="12" t="str">
        <f>HYPERLINK("https://www.boe.es/gazeta/dias/1807/07/24/pdfs/GMD-1807-65.pdf#page=11","Abrir facsímil")</f>
        <v>Abrir facsímil</v>
      </c>
      <c r="K3215" s="15" t="s">
        <v>22</v>
      </c>
    </row>
    <row r="3216" spans="1:11" ht="42" customHeight="1">
      <c r="A3216" s="4" t="s">
        <v>7449</v>
      </c>
      <c r="B3216" s="5" t="s">
        <v>7450</v>
      </c>
      <c r="C3216" s="5" t="s">
        <v>24</v>
      </c>
      <c r="D3216" s="5" t="s">
        <v>18</v>
      </c>
      <c r="E3216" s="5" t="s">
        <v>62</v>
      </c>
      <c r="F3216" s="9">
        <v>68</v>
      </c>
      <c r="G3216" s="9">
        <v>786</v>
      </c>
      <c r="H3216" s="5" t="s">
        <v>20</v>
      </c>
      <c r="I3216" s="5" t="s">
        <v>7456</v>
      </c>
      <c r="J3216" s="12" t="str">
        <f>HYPERLINK("https://www.boe.es/gazeta/dias/1807/07/31/pdfs/GMD-1807-68.pdf#page=10","Abrir facsímil")</f>
        <v>Abrir facsímil</v>
      </c>
      <c r="K3216" s="15" t="s">
        <v>22</v>
      </c>
    </row>
    <row r="3217" spans="1:11" ht="42" customHeight="1">
      <c r="A3217" s="4" t="s">
        <v>7449</v>
      </c>
      <c r="B3217" s="5" t="s">
        <v>7450</v>
      </c>
      <c r="C3217" s="5" t="s">
        <v>24</v>
      </c>
      <c r="D3217" s="5" t="s">
        <v>18</v>
      </c>
      <c r="E3217" s="5" t="s">
        <v>123</v>
      </c>
      <c r="F3217" s="9">
        <v>70</v>
      </c>
      <c r="G3217" s="9">
        <v>807</v>
      </c>
      <c r="H3217" s="5" t="s">
        <v>20</v>
      </c>
      <c r="I3217" s="5" t="s">
        <v>7457</v>
      </c>
      <c r="J3217" s="12" t="str">
        <f>HYPERLINK("https://www.boe.es/gazeta/dias/1807/08/04/pdfs/GMD-1807-70.pdf#page=11","Abrir facsímil")</f>
        <v>Abrir facsímil</v>
      </c>
      <c r="K3217" s="15" t="s">
        <v>22</v>
      </c>
    </row>
    <row r="3218" spans="1:11" ht="42" customHeight="1">
      <c r="A3218" s="4" t="s">
        <v>7449</v>
      </c>
      <c r="B3218" s="5" t="s">
        <v>7450</v>
      </c>
      <c r="C3218" s="5" t="s">
        <v>89</v>
      </c>
      <c r="D3218" s="5" t="s">
        <v>90</v>
      </c>
      <c r="E3218" s="5" t="s">
        <v>929</v>
      </c>
      <c r="F3218" s="9">
        <v>85</v>
      </c>
      <c r="G3218" s="9">
        <v>994</v>
      </c>
      <c r="H3218" s="5" t="s">
        <v>20</v>
      </c>
      <c r="I3218" s="5" t="s">
        <v>7458</v>
      </c>
      <c r="J3218" s="12" t="str">
        <f>HYPERLINK("https://www.boe.es/gazeta/dias/1807/09/25/pdfs/GMD-1807-85.pdf#page=10","Abrir facsímil")</f>
        <v>Abrir facsímil</v>
      </c>
      <c r="K3218" s="15" t="s">
        <v>22</v>
      </c>
    </row>
    <row r="3219" spans="1:11" ht="42" customHeight="1">
      <c r="A3219" s="4" t="s">
        <v>7459</v>
      </c>
      <c r="B3219" s="5" t="s">
        <v>7460</v>
      </c>
      <c r="C3219" s="5" t="s">
        <v>24</v>
      </c>
      <c r="D3219" s="5" t="s">
        <v>18</v>
      </c>
      <c r="E3219" s="5" t="s">
        <v>215</v>
      </c>
      <c r="F3219" s="9">
        <v>5</v>
      </c>
      <c r="G3219" s="9">
        <v>55</v>
      </c>
      <c r="H3219" s="5" t="s">
        <v>20</v>
      </c>
      <c r="I3219" s="5" t="s">
        <v>7461</v>
      </c>
      <c r="J3219" s="12" t="str">
        <f>HYPERLINK("https://www.boe.es/gazeta/dias/1807/01/16/pdfs/GMD-1807-5.pdf#page=11","Abrir facsímil")</f>
        <v>Abrir facsímil</v>
      </c>
      <c r="K3219" s="15" t="s">
        <v>22</v>
      </c>
    </row>
    <row r="3220" spans="1:11" ht="42" customHeight="1">
      <c r="A3220" s="4" t="s">
        <v>7459</v>
      </c>
      <c r="B3220" s="5" t="s">
        <v>7460</v>
      </c>
      <c r="C3220" s="5" t="s">
        <v>24</v>
      </c>
      <c r="D3220" s="5" t="s">
        <v>18</v>
      </c>
      <c r="E3220" s="5" t="s">
        <v>390</v>
      </c>
      <c r="F3220" s="9">
        <v>24</v>
      </c>
      <c r="G3220" s="9">
        <v>291</v>
      </c>
      <c r="H3220" s="5" t="s">
        <v>20</v>
      </c>
      <c r="I3220" s="5" t="s">
        <v>7462</v>
      </c>
      <c r="J3220" s="12" t="str">
        <f>HYPERLINK("https://www.boe.es/gazeta/dias/1807/03/13/pdfs/GMD-1807-24.pdf#page=15","Abrir facsímil")</f>
        <v>Abrir facsímil</v>
      </c>
      <c r="K3220" s="15" t="s">
        <v>22</v>
      </c>
    </row>
    <row r="3221" spans="1:11" ht="42" customHeight="1">
      <c r="A3221" s="4" t="s">
        <v>7459</v>
      </c>
      <c r="B3221" s="5" t="s">
        <v>7460</v>
      </c>
      <c r="C3221" s="5" t="s">
        <v>24</v>
      </c>
      <c r="D3221" s="5" t="s">
        <v>18</v>
      </c>
      <c r="E3221" s="5" t="s">
        <v>40</v>
      </c>
      <c r="F3221" s="9">
        <v>26</v>
      </c>
      <c r="G3221" s="9">
        <v>315</v>
      </c>
      <c r="H3221" s="5" t="s">
        <v>20</v>
      </c>
      <c r="I3221" s="5" t="s">
        <v>7463</v>
      </c>
      <c r="J3221" s="12" t="str">
        <f>HYPERLINK("https://www.boe.es/gazeta/dias/1807/03/20/pdfs/GMD-1807-26.pdf#page=11","Abrir facsímil")</f>
        <v>Abrir facsímil</v>
      </c>
      <c r="K3221" s="15" t="s">
        <v>22</v>
      </c>
    </row>
    <row r="3222" spans="1:11" ht="42" customHeight="1">
      <c r="A3222" s="4" t="s">
        <v>7459</v>
      </c>
      <c r="B3222" s="5" t="s">
        <v>7460</v>
      </c>
      <c r="C3222" s="5" t="s">
        <v>24</v>
      </c>
      <c r="D3222" s="5" t="s">
        <v>18</v>
      </c>
      <c r="E3222" s="5" t="s">
        <v>301</v>
      </c>
      <c r="F3222" s="9">
        <v>89</v>
      </c>
      <c r="G3222" s="9">
        <v>1031</v>
      </c>
      <c r="H3222" s="5" t="s">
        <v>20</v>
      </c>
      <c r="I3222" s="5" t="s">
        <v>7464</v>
      </c>
      <c r="J3222" s="12" t="str">
        <f>HYPERLINK("https://www.boe.es/gazeta/dias/1807/10/02/pdfs/GMD-1807-89.pdf#page=11","Abrir facsímil")</f>
        <v>Abrir facsímil</v>
      </c>
      <c r="K3222" s="15" t="s">
        <v>22</v>
      </c>
    </row>
    <row r="3223" spans="1:11" ht="42" customHeight="1">
      <c r="A3223" s="4" t="s">
        <v>7459</v>
      </c>
      <c r="B3223" s="5" t="s">
        <v>7460</v>
      </c>
      <c r="C3223" s="5" t="s">
        <v>24</v>
      </c>
      <c r="D3223" s="5" t="s">
        <v>18</v>
      </c>
      <c r="E3223" s="5" t="s">
        <v>1456</v>
      </c>
      <c r="F3223" s="9">
        <v>98</v>
      </c>
      <c r="G3223" s="9">
        <v>1142</v>
      </c>
      <c r="H3223" s="5" t="s">
        <v>20</v>
      </c>
      <c r="I3223" s="5" t="s">
        <v>7465</v>
      </c>
      <c r="J3223" s="12" t="str">
        <f>HYPERLINK("https://www.boe.es/gazeta/dias/1807/11/03/pdfs/GMD-1807-98.pdf#page=10","Abrir facsímil")</f>
        <v>Abrir facsímil</v>
      </c>
      <c r="K3223" s="15" t="s">
        <v>22</v>
      </c>
    </row>
    <row r="3224" spans="1:11" ht="42" customHeight="1">
      <c r="A3224" s="4" t="s">
        <v>7459</v>
      </c>
      <c r="B3224" s="5" t="s">
        <v>7460</v>
      </c>
      <c r="C3224" s="5" t="s">
        <v>24</v>
      </c>
      <c r="D3224" s="5" t="s">
        <v>18</v>
      </c>
      <c r="E3224" s="5" t="s">
        <v>327</v>
      </c>
      <c r="F3224" s="9">
        <v>108</v>
      </c>
      <c r="G3224" s="9">
        <v>1262</v>
      </c>
      <c r="H3224" s="5" t="s">
        <v>20</v>
      </c>
      <c r="I3224" s="5" t="s">
        <v>7466</v>
      </c>
      <c r="J3224" s="12" t="str">
        <f>HYPERLINK("https://www.boe.es/gazeta/dias/1807/12/04/pdfs/GMD-1807-108.pdf#page=10","Abrir facsímil")</f>
        <v>Abrir facsímil</v>
      </c>
      <c r="K3224" s="15" t="s">
        <v>22</v>
      </c>
    </row>
    <row r="3225" spans="1:11" ht="42" customHeight="1">
      <c r="A3225" s="4" t="s">
        <v>7467</v>
      </c>
      <c r="B3225" s="5" t="s">
        <v>7468</v>
      </c>
      <c r="C3225" s="5" t="s">
        <v>24</v>
      </c>
      <c r="D3225" s="5" t="s">
        <v>18</v>
      </c>
      <c r="E3225" s="5" t="s">
        <v>98</v>
      </c>
      <c r="F3225" s="9">
        <v>34</v>
      </c>
      <c r="G3225" s="9">
        <v>407</v>
      </c>
      <c r="H3225" s="5" t="s">
        <v>20</v>
      </c>
      <c r="I3225" s="5" t="s">
        <v>7469</v>
      </c>
      <c r="J3225" s="12" t="str">
        <f>HYPERLINK("https://www.boe.es/gazeta/dias/1807/04/17/pdfs/GMD-1807-34.pdf#page=11","Abrir facsímil")</f>
        <v>Abrir facsímil</v>
      </c>
      <c r="K3225" s="15" t="s">
        <v>22</v>
      </c>
    </row>
    <row r="3226" spans="1:11" ht="42" customHeight="1">
      <c r="A3226" s="4" t="s">
        <v>7470</v>
      </c>
      <c r="B3226" s="5" t="s">
        <v>7471</v>
      </c>
      <c r="C3226" s="5" t="s">
        <v>24</v>
      </c>
      <c r="D3226" s="5" t="s">
        <v>18</v>
      </c>
      <c r="E3226" s="5" t="s">
        <v>94</v>
      </c>
      <c r="F3226" s="9">
        <v>22</v>
      </c>
      <c r="G3226" s="9">
        <v>259</v>
      </c>
      <c r="H3226" s="5" t="s">
        <v>20</v>
      </c>
      <c r="I3226" s="5" t="s">
        <v>7472</v>
      </c>
      <c r="J3226" s="12" t="str">
        <f>HYPERLINK("https://www.boe.es/gazeta/dias/1807/03/06/pdfs/GMD-1807-22.pdf#page=11","Abrir facsímil")</f>
        <v>Abrir facsímil</v>
      </c>
      <c r="K3226" s="15" t="s">
        <v>22</v>
      </c>
    </row>
    <row r="3227" spans="1:11" ht="42" customHeight="1">
      <c r="A3227" s="4" t="s">
        <v>7470</v>
      </c>
      <c r="B3227" s="5" t="s">
        <v>7471</v>
      </c>
      <c r="C3227" s="5" t="s">
        <v>34</v>
      </c>
      <c r="D3227" s="5" t="s">
        <v>35</v>
      </c>
      <c r="E3227" s="5" t="s">
        <v>36</v>
      </c>
      <c r="F3227" s="9">
        <v>36</v>
      </c>
      <c r="G3227" s="9">
        <v>432</v>
      </c>
      <c r="H3227" s="5" t="s">
        <v>20</v>
      </c>
      <c r="I3227" s="5" t="s">
        <v>7473</v>
      </c>
      <c r="J3227" s="12" t="str">
        <f>HYPERLINK("https://www.boe.es/gazeta/dias/1807/04/24/pdfs/GMD-1807-36.pdf#page=12","Abrir facsímil")</f>
        <v>Abrir facsímil</v>
      </c>
      <c r="K3227" s="15" t="s">
        <v>22</v>
      </c>
    </row>
    <row r="3228" spans="1:11" ht="42" customHeight="1">
      <c r="A3228" s="4" t="s">
        <v>7470</v>
      </c>
      <c r="B3228" s="5" t="s">
        <v>7471</v>
      </c>
      <c r="C3228" s="5" t="s">
        <v>24</v>
      </c>
      <c r="D3228" s="5" t="s">
        <v>18</v>
      </c>
      <c r="E3228" s="5" t="s">
        <v>25</v>
      </c>
      <c r="F3228" s="9">
        <v>45</v>
      </c>
      <c r="G3228" s="9">
        <v>541</v>
      </c>
      <c r="H3228" s="5" t="s">
        <v>20</v>
      </c>
      <c r="I3228" s="5" t="s">
        <v>7474</v>
      </c>
      <c r="J3228" s="12" t="str">
        <f>HYPERLINK("https://www.boe.es/gazeta/dias/1807/05/26/pdfs/GMD-1807-45.pdf#page=11","Abrir facsímil")</f>
        <v>Abrir facsímil</v>
      </c>
      <c r="K3228" s="15" t="s">
        <v>22</v>
      </c>
    </row>
    <row r="3229" spans="1:11" ht="42" customHeight="1">
      <c r="A3229" s="4" t="s">
        <v>7470</v>
      </c>
      <c r="B3229" s="5" t="s">
        <v>7471</v>
      </c>
      <c r="C3229" s="5" t="s">
        <v>24</v>
      </c>
      <c r="D3229" s="5" t="s">
        <v>18</v>
      </c>
      <c r="E3229" s="5" t="s">
        <v>305</v>
      </c>
      <c r="F3229" s="9">
        <v>53</v>
      </c>
      <c r="G3229" s="9">
        <v>637</v>
      </c>
      <c r="H3229" s="5" t="s">
        <v>20</v>
      </c>
      <c r="I3229" s="5" t="s">
        <v>7475</v>
      </c>
      <c r="J3229" s="12" t="str">
        <f>HYPERLINK("https://www.boe.es/gazeta/dias/1807/06/23/pdfs/GMD-1807-53.pdf#page=11","Abrir facsímil")</f>
        <v>Abrir facsímil</v>
      </c>
      <c r="K3229" s="15" t="s">
        <v>22</v>
      </c>
    </row>
    <row r="3230" spans="1:11" ht="42" customHeight="1">
      <c r="A3230" s="4" t="s">
        <v>7470</v>
      </c>
      <c r="B3230" s="5" t="s">
        <v>7471</v>
      </c>
      <c r="C3230" s="5" t="s">
        <v>17</v>
      </c>
      <c r="D3230" s="5" t="s">
        <v>18</v>
      </c>
      <c r="E3230" s="5" t="s">
        <v>51</v>
      </c>
      <c r="F3230" s="9">
        <v>62</v>
      </c>
      <c r="G3230" s="9">
        <v>733</v>
      </c>
      <c r="H3230" s="5" t="s">
        <v>20</v>
      </c>
      <c r="I3230" s="5" t="s">
        <v>7476</v>
      </c>
      <c r="J3230" s="12" t="str">
        <f>HYPERLINK("https://www.boe.es/gazeta/dias/1807/07/17/pdfs/GMD-1807-62.pdf#page=7","Abrir facsímil")</f>
        <v>Abrir facsímil</v>
      </c>
      <c r="K3230" s="15" t="s">
        <v>22</v>
      </c>
    </row>
    <row r="3231" spans="1:11" ht="42" customHeight="1">
      <c r="A3231" s="4" t="s">
        <v>7470</v>
      </c>
      <c r="B3231" s="5" t="s">
        <v>7471</v>
      </c>
      <c r="C3231" s="5" t="s">
        <v>24</v>
      </c>
      <c r="D3231" s="5" t="s">
        <v>18</v>
      </c>
      <c r="E3231" s="5" t="s">
        <v>123</v>
      </c>
      <c r="F3231" s="9">
        <v>70</v>
      </c>
      <c r="G3231" s="9">
        <v>807</v>
      </c>
      <c r="H3231" s="5" t="s">
        <v>20</v>
      </c>
      <c r="I3231" s="5" t="s">
        <v>7477</v>
      </c>
      <c r="J3231" s="12" t="str">
        <f>HYPERLINK("https://www.boe.es/gazeta/dias/1807/08/04/pdfs/GMD-1807-70.pdf#page=11","Abrir facsímil")</f>
        <v>Abrir facsímil</v>
      </c>
      <c r="K3231" s="15" t="s">
        <v>22</v>
      </c>
    </row>
    <row r="3232" spans="1:11" ht="42" customHeight="1">
      <c r="A3232" s="4" t="s">
        <v>7470</v>
      </c>
      <c r="B3232" s="5" t="s">
        <v>7471</v>
      </c>
      <c r="C3232" s="5" t="s">
        <v>24</v>
      </c>
      <c r="D3232" s="5" t="s">
        <v>18</v>
      </c>
      <c r="E3232" s="5" t="s">
        <v>321</v>
      </c>
      <c r="F3232" s="9">
        <v>75</v>
      </c>
      <c r="G3232" s="9">
        <v>871</v>
      </c>
      <c r="H3232" s="5" t="s">
        <v>20</v>
      </c>
      <c r="I3232" s="5" t="s">
        <v>7478</v>
      </c>
      <c r="J3232" s="12" t="str">
        <f>HYPERLINK("https://www.boe.es/gazeta/dias/1807/08/21/pdfs/GMD-1807-75.pdf#page=11","Abrir facsímil")</f>
        <v>Abrir facsímil</v>
      </c>
      <c r="K3232" s="15" t="s">
        <v>22</v>
      </c>
    </row>
    <row r="3233" spans="1:11" ht="42" customHeight="1">
      <c r="A3233" s="4" t="s">
        <v>7470</v>
      </c>
      <c r="B3233" s="5" t="s">
        <v>7471</v>
      </c>
      <c r="C3233" s="5" t="s">
        <v>24</v>
      </c>
      <c r="D3233" s="5" t="s">
        <v>18</v>
      </c>
      <c r="E3233" s="5" t="s">
        <v>127</v>
      </c>
      <c r="F3233" s="9">
        <v>81</v>
      </c>
      <c r="G3233" s="9">
        <v>947</v>
      </c>
      <c r="H3233" s="5" t="s">
        <v>20</v>
      </c>
      <c r="I3233" s="5" t="s">
        <v>7479</v>
      </c>
      <c r="J3233" s="12" t="str">
        <f>HYPERLINK("https://www.boe.es/gazeta/dias/1807/09/11/pdfs/GMD-1807-81.pdf#page=11","Abrir facsímil")</f>
        <v>Abrir facsímil</v>
      </c>
      <c r="K3233" s="15" t="s">
        <v>22</v>
      </c>
    </row>
    <row r="3234" spans="1:11" ht="42" customHeight="1">
      <c r="A3234" s="4" t="s">
        <v>7470</v>
      </c>
      <c r="B3234" s="5" t="s">
        <v>7471</v>
      </c>
      <c r="C3234" s="5" t="s">
        <v>34</v>
      </c>
      <c r="D3234" s="5" t="s">
        <v>35</v>
      </c>
      <c r="E3234" s="5" t="s">
        <v>406</v>
      </c>
      <c r="F3234" s="9">
        <v>82</v>
      </c>
      <c r="G3234" s="9">
        <v>958</v>
      </c>
      <c r="H3234" s="5" t="s">
        <v>20</v>
      </c>
      <c r="I3234" s="5" t="s">
        <v>7480</v>
      </c>
      <c r="J3234" s="12" t="str">
        <f>HYPERLINK("https://www.boe.es/gazeta/dias/1807/09/15/pdfs/GMD-1807-82.pdf#page=10","Abrir facsímil")</f>
        <v>Abrir facsímil</v>
      </c>
      <c r="K3234" s="15" t="s">
        <v>22</v>
      </c>
    </row>
    <row r="3235" spans="1:11" ht="42" customHeight="1">
      <c r="A3235" s="4" t="s">
        <v>7470</v>
      </c>
      <c r="B3235" s="5" t="s">
        <v>7471</v>
      </c>
      <c r="C3235" s="5" t="s">
        <v>34</v>
      </c>
      <c r="D3235" s="5" t="s">
        <v>35</v>
      </c>
      <c r="E3235" s="5" t="s">
        <v>444</v>
      </c>
      <c r="F3235" s="9">
        <v>95</v>
      </c>
      <c r="G3235" s="9">
        <v>1107</v>
      </c>
      <c r="H3235" s="5" t="s">
        <v>20</v>
      </c>
      <c r="I3235" s="5" t="s">
        <v>7481</v>
      </c>
      <c r="J3235" s="12" t="str">
        <f>HYPERLINK("https://www.boe.es/gazeta/dias/1807/10/23/pdfs/GMD-1807-95.pdf#page=11","Abrir facsímil")</f>
        <v>Abrir facsímil</v>
      </c>
      <c r="K3235" s="15" t="s">
        <v>22</v>
      </c>
    </row>
    <row r="3236" spans="1:11" ht="42" customHeight="1">
      <c r="A3236" s="4" t="s">
        <v>7470</v>
      </c>
      <c r="B3236" s="5" t="s">
        <v>7471</v>
      </c>
      <c r="C3236" s="5" t="s">
        <v>89</v>
      </c>
      <c r="D3236" s="5" t="s">
        <v>90</v>
      </c>
      <c r="E3236" s="5" t="s">
        <v>1177</v>
      </c>
      <c r="F3236" s="9">
        <v>101</v>
      </c>
      <c r="G3236" s="9">
        <v>1179</v>
      </c>
      <c r="H3236" s="5" t="s">
        <v>20</v>
      </c>
      <c r="I3236" s="5" t="s">
        <v>7482</v>
      </c>
      <c r="J3236" s="12" t="str">
        <f>HYPERLINK("https://www.boe.es/gazeta/dias/1807/11/13/pdfs/GMD-1807-101.pdf#page=11","Abrir facsímil")</f>
        <v>Abrir facsímil</v>
      </c>
      <c r="K3236" s="15" t="s">
        <v>22</v>
      </c>
    </row>
    <row r="3237" spans="1:11" ht="42" customHeight="1">
      <c r="A3237" s="4" t="s">
        <v>7470</v>
      </c>
      <c r="B3237" s="5" t="s">
        <v>7471</v>
      </c>
      <c r="C3237" s="5" t="s">
        <v>24</v>
      </c>
      <c r="D3237" s="5" t="s">
        <v>18</v>
      </c>
      <c r="E3237" s="5" t="s">
        <v>384</v>
      </c>
      <c r="F3237" s="9">
        <v>111</v>
      </c>
      <c r="G3237" s="9">
        <v>1298</v>
      </c>
      <c r="H3237" s="5" t="s">
        <v>20</v>
      </c>
      <c r="I3237" s="5" t="s">
        <v>7483</v>
      </c>
      <c r="J3237" s="12" t="str">
        <f>HYPERLINK("https://www.boe.es/gazeta/dias/1807/12/15/pdfs/GMD-1807-111.pdf#page=10","Abrir facsímil")</f>
        <v>Abrir facsímil</v>
      </c>
      <c r="K3237" s="15" t="s">
        <v>22</v>
      </c>
    </row>
    <row r="3238" spans="1:11" ht="42" customHeight="1">
      <c r="A3238" s="4" t="s">
        <v>7484</v>
      </c>
      <c r="B3238" s="5" t="s">
        <v>7485</v>
      </c>
      <c r="C3238" s="5" t="s">
        <v>24</v>
      </c>
      <c r="D3238" s="5" t="s">
        <v>18</v>
      </c>
      <c r="E3238" s="5" t="s">
        <v>561</v>
      </c>
      <c r="F3238" s="9">
        <v>44</v>
      </c>
      <c r="G3238" s="9">
        <v>528</v>
      </c>
      <c r="H3238" s="5" t="s">
        <v>20</v>
      </c>
      <c r="I3238" s="5" t="s">
        <v>7486</v>
      </c>
      <c r="J3238" s="12" t="str">
        <f>HYPERLINK("https://www.boe.es/gazeta/dias/1807/05/22/pdfs/GMD-1807-44.pdf#page=10","Abrir facsímil")</f>
        <v>Abrir facsímil</v>
      </c>
      <c r="K3238" s="15" t="s">
        <v>22</v>
      </c>
    </row>
    <row r="3239" spans="1:11" ht="42" customHeight="1">
      <c r="A3239" s="4" t="s">
        <v>7484</v>
      </c>
      <c r="B3239" s="5" t="s">
        <v>7485</v>
      </c>
      <c r="C3239" s="5" t="s">
        <v>24</v>
      </c>
      <c r="D3239" s="5" t="s">
        <v>18</v>
      </c>
      <c r="E3239" s="5" t="s">
        <v>471</v>
      </c>
      <c r="F3239" s="9">
        <v>51</v>
      </c>
      <c r="G3239" s="9">
        <v>608</v>
      </c>
      <c r="H3239" s="5" t="s">
        <v>20</v>
      </c>
      <c r="I3239" s="5" t="s">
        <v>7487</v>
      </c>
      <c r="J3239" s="12" t="str">
        <f>HYPERLINK("https://www.boe.es/gazeta/dias/1807/06/16/pdfs/GMD-1807-51.pdf#page=10","Abrir facsímil")</f>
        <v>Abrir facsímil</v>
      </c>
      <c r="K3239" s="15" t="s">
        <v>22</v>
      </c>
    </row>
    <row r="3240" spans="1:11" ht="42" customHeight="1">
      <c r="A3240" s="4" t="s">
        <v>7484</v>
      </c>
      <c r="B3240" s="5" t="s">
        <v>7485</v>
      </c>
      <c r="C3240" s="5" t="s">
        <v>24</v>
      </c>
      <c r="D3240" s="5" t="s">
        <v>18</v>
      </c>
      <c r="E3240" s="5" t="s">
        <v>441</v>
      </c>
      <c r="F3240" s="9">
        <v>92</v>
      </c>
      <c r="G3240" s="9">
        <v>1070</v>
      </c>
      <c r="H3240" s="5" t="s">
        <v>20</v>
      </c>
      <c r="I3240" s="5" t="s">
        <v>7488</v>
      </c>
      <c r="J3240" s="12" t="str">
        <f>HYPERLINK("https://www.boe.es/gazeta/dias/1807/10/13/pdfs/GMD-1807-92.pdf#page=10","Abrir facsímil")</f>
        <v>Abrir facsímil</v>
      </c>
      <c r="K3240" s="15" t="s">
        <v>22</v>
      </c>
    </row>
    <row r="3241" spans="1:11" ht="42" customHeight="1">
      <c r="A3241" s="4" t="s">
        <v>7489</v>
      </c>
      <c r="B3241" s="5" t="s">
        <v>7490</v>
      </c>
      <c r="C3241" s="5" t="s">
        <v>24</v>
      </c>
      <c r="D3241" s="5" t="s">
        <v>18</v>
      </c>
      <c r="E3241" s="5" t="s">
        <v>1456</v>
      </c>
      <c r="F3241" s="9">
        <v>98</v>
      </c>
      <c r="G3241" s="9">
        <v>1142</v>
      </c>
      <c r="H3241" s="5" t="s">
        <v>20</v>
      </c>
      <c r="I3241" s="5" t="s">
        <v>7491</v>
      </c>
      <c r="J3241" s="12" t="str">
        <f>HYPERLINK("https://www.boe.es/gazeta/dias/1807/11/03/pdfs/GMD-1807-98.pdf#page=10","Abrir facsímil")</f>
        <v>Abrir facsímil</v>
      </c>
      <c r="K3241" s="15" t="s">
        <v>22</v>
      </c>
    </row>
    <row r="3242" spans="1:11" ht="42" customHeight="1">
      <c r="A3242" s="4" t="s">
        <v>7484</v>
      </c>
      <c r="B3242" s="5" t="s">
        <v>7485</v>
      </c>
      <c r="C3242" s="5" t="s">
        <v>24</v>
      </c>
      <c r="D3242" s="5" t="s">
        <v>18</v>
      </c>
      <c r="E3242" s="5" t="s">
        <v>139</v>
      </c>
      <c r="F3242" s="9">
        <v>110</v>
      </c>
      <c r="G3242" s="9">
        <v>1285</v>
      </c>
      <c r="H3242" s="5" t="s">
        <v>20</v>
      </c>
      <c r="I3242" s="5" t="s">
        <v>7492</v>
      </c>
      <c r="J3242" s="12" t="str">
        <f>HYPERLINK("https://www.boe.es/gazeta/dias/1807/12/11/pdfs/GMD-1807-110.pdf#page=9","Abrir facsímil")</f>
        <v>Abrir facsímil</v>
      </c>
      <c r="K3242" s="15" t="s">
        <v>22</v>
      </c>
    </row>
    <row r="3243" spans="1:11" ht="42" customHeight="1">
      <c r="A3243" s="4" t="s">
        <v>7484</v>
      </c>
      <c r="B3243" s="5" t="s">
        <v>7485</v>
      </c>
      <c r="C3243" s="5" t="s">
        <v>24</v>
      </c>
      <c r="D3243" s="5" t="s">
        <v>18</v>
      </c>
      <c r="E3243" s="5" t="s">
        <v>384</v>
      </c>
      <c r="F3243" s="9">
        <v>111</v>
      </c>
      <c r="G3243" s="9">
        <v>1298</v>
      </c>
      <c r="H3243" s="5" t="s">
        <v>20</v>
      </c>
      <c r="I3243" s="5" t="s">
        <v>7493</v>
      </c>
      <c r="J3243" s="12" t="str">
        <f>HYPERLINK("https://www.boe.es/gazeta/dias/1807/12/15/pdfs/GMD-1807-111.pdf#page=10","Abrir facsímil")</f>
        <v>Abrir facsímil</v>
      </c>
      <c r="K3243" s="15" t="s">
        <v>22</v>
      </c>
    </row>
    <row r="3244" spans="1:11" ht="42" customHeight="1">
      <c r="A3244" s="4" t="s">
        <v>7494</v>
      </c>
      <c r="B3244" s="5" t="s">
        <v>7495</v>
      </c>
      <c r="C3244" s="5" t="s">
        <v>24</v>
      </c>
      <c r="D3244" s="5" t="s">
        <v>18</v>
      </c>
      <c r="E3244" s="5" t="s">
        <v>152</v>
      </c>
      <c r="F3244" s="9">
        <v>61</v>
      </c>
      <c r="G3244" s="9">
        <v>722</v>
      </c>
      <c r="H3244" s="5" t="s">
        <v>20</v>
      </c>
      <c r="I3244" s="5" t="s">
        <v>7496</v>
      </c>
      <c r="J3244" s="12" t="str">
        <f>HYPERLINK("https://www.boe.es/gazeta/dias/1807/07/14/pdfs/GMD-1807-61.pdf#page=8","Abrir facsímil")</f>
        <v>Abrir facsímil</v>
      </c>
      <c r="K3244" s="15" t="s">
        <v>22</v>
      </c>
    </row>
    <row r="3245" spans="1:11" ht="42" customHeight="1">
      <c r="A3245" s="4" t="s">
        <v>7497</v>
      </c>
      <c r="B3245" s="5" t="s">
        <v>7498</v>
      </c>
      <c r="C3245" s="5" t="s">
        <v>89</v>
      </c>
      <c r="D3245" s="5" t="s">
        <v>90</v>
      </c>
      <c r="E3245" s="5" t="s">
        <v>654</v>
      </c>
      <c r="F3245" s="9">
        <v>94</v>
      </c>
      <c r="G3245" s="9">
        <v>1096</v>
      </c>
      <c r="H3245" s="5" t="s">
        <v>20</v>
      </c>
      <c r="I3245" s="5" t="s">
        <v>7499</v>
      </c>
      <c r="J3245" s="12" t="str">
        <f>HYPERLINK("https://www.boe.es/gazeta/dias/1807/10/20/pdfs/GMD-1807-94.pdf#page=12","Abrir facsímil")</f>
        <v>Abrir facsímil</v>
      </c>
      <c r="K3245" s="15" t="s">
        <v>22</v>
      </c>
    </row>
    <row r="3246" spans="1:11" ht="42" customHeight="1">
      <c r="A3246" s="4" t="s">
        <v>7500</v>
      </c>
      <c r="B3246" s="5" t="s">
        <v>7501</v>
      </c>
      <c r="C3246" s="5" t="s">
        <v>24</v>
      </c>
      <c r="D3246" s="5" t="s">
        <v>18</v>
      </c>
      <c r="E3246" s="5" t="s">
        <v>266</v>
      </c>
      <c r="F3246" s="9">
        <v>67</v>
      </c>
      <c r="G3246" s="9">
        <v>775</v>
      </c>
      <c r="H3246" s="5" t="s">
        <v>20</v>
      </c>
      <c r="I3246" s="5" t="s">
        <v>7502</v>
      </c>
      <c r="J3246" s="12" t="str">
        <f>HYPERLINK("https://www.boe.es/gazeta/dias/1807/07/28/pdfs/GMD-1807-67.pdf#page=11","Abrir facsímil")</f>
        <v>Abrir facsímil</v>
      </c>
      <c r="K3246" s="15" t="s">
        <v>22</v>
      </c>
    </row>
    <row r="3247" spans="1:11" ht="42" customHeight="1">
      <c r="A3247" s="4" t="s">
        <v>7500</v>
      </c>
      <c r="B3247" s="5" t="s">
        <v>7501</v>
      </c>
      <c r="C3247" s="5" t="s">
        <v>24</v>
      </c>
      <c r="D3247" s="5" t="s">
        <v>18</v>
      </c>
      <c r="E3247" s="5" t="s">
        <v>167</v>
      </c>
      <c r="F3247" s="9">
        <v>77</v>
      </c>
      <c r="G3247" s="9">
        <v>895</v>
      </c>
      <c r="H3247" s="5" t="s">
        <v>20</v>
      </c>
      <c r="I3247" s="5" t="s">
        <v>7503</v>
      </c>
      <c r="J3247" s="12" t="str">
        <f>HYPERLINK("https://www.boe.es/gazeta/dias/1807/08/28/pdfs/GMD-1807-77.pdf#page=11","Abrir facsímil")</f>
        <v>Abrir facsímil</v>
      </c>
      <c r="K3247" s="15" t="s">
        <v>22</v>
      </c>
    </row>
    <row r="3248" spans="1:11" ht="42" customHeight="1">
      <c r="A3248" s="4" t="s">
        <v>7504</v>
      </c>
      <c r="B3248" s="5" t="s">
        <v>7505</v>
      </c>
      <c r="C3248" s="5" t="s">
        <v>34</v>
      </c>
      <c r="D3248" s="5" t="s">
        <v>35</v>
      </c>
      <c r="E3248" s="5" t="s">
        <v>361</v>
      </c>
      <c r="F3248" s="9">
        <v>113</v>
      </c>
      <c r="G3248" s="9">
        <v>1323</v>
      </c>
      <c r="H3248" s="5" t="s">
        <v>20</v>
      </c>
      <c r="I3248" s="5" t="s">
        <v>7506</v>
      </c>
      <c r="J3248" s="12" t="str">
        <f>HYPERLINK("https://www.boe.es/gazeta/dias/1807/12/22/pdfs/GMD-1807-113.pdf#page=11","Abrir facsímil")</f>
        <v>Abrir facsímil</v>
      </c>
      <c r="K3248" s="15" t="s">
        <v>22</v>
      </c>
    </row>
    <row r="3249" spans="1:11" ht="42" customHeight="1">
      <c r="A3249" s="4" t="s">
        <v>7507</v>
      </c>
      <c r="B3249" s="5" t="s">
        <v>7508</v>
      </c>
      <c r="C3249" s="5" t="s">
        <v>17</v>
      </c>
      <c r="D3249" s="5" t="s">
        <v>18</v>
      </c>
      <c r="E3249" s="5" t="s">
        <v>91</v>
      </c>
      <c r="F3249" s="9">
        <v>109</v>
      </c>
      <c r="G3249" s="9">
        <v>1272</v>
      </c>
      <c r="H3249" s="5" t="s">
        <v>20</v>
      </c>
      <c r="I3249" s="5" t="s">
        <v>7509</v>
      </c>
      <c r="J3249" s="12" t="str">
        <f>HYPERLINK("https://www.boe.es/gazeta/dias/1807/12/08/pdfs/GMD-1807-109.pdf#page=8","Abrir facsímil")</f>
        <v>Abrir facsímil</v>
      </c>
      <c r="K3249" s="15" t="s">
        <v>22</v>
      </c>
    </row>
    <row r="3250" spans="1:11" ht="42" customHeight="1">
      <c r="A3250" s="4" t="s">
        <v>7510</v>
      </c>
      <c r="B3250" s="5" t="s">
        <v>7511</v>
      </c>
      <c r="C3250" s="5" t="s">
        <v>17</v>
      </c>
      <c r="D3250" s="5" t="s">
        <v>18</v>
      </c>
      <c r="E3250" s="5" t="s">
        <v>135</v>
      </c>
      <c r="F3250" s="9">
        <v>80</v>
      </c>
      <c r="G3250" s="9">
        <v>936</v>
      </c>
      <c r="H3250" s="5" t="s">
        <v>20</v>
      </c>
      <c r="I3250" s="5" t="s">
        <v>7512</v>
      </c>
      <c r="J3250" s="12" t="str">
        <f>HYPERLINK("https://www.boe.es/gazeta/dias/1807/09/08/pdfs/GMD-1807-80.pdf#page=12","Abrir facsímil")</f>
        <v>Abrir facsímil</v>
      </c>
      <c r="K3250" s="15" t="s">
        <v>22</v>
      </c>
    </row>
    <row r="3251" spans="1:11" ht="42" customHeight="1">
      <c r="A3251" s="4" t="s">
        <v>7513</v>
      </c>
      <c r="B3251" s="5" t="s">
        <v>7514</v>
      </c>
      <c r="C3251" s="5" t="s">
        <v>89</v>
      </c>
      <c r="D3251" s="5" t="s">
        <v>90</v>
      </c>
      <c r="E3251" s="5" t="s">
        <v>114</v>
      </c>
      <c r="F3251" s="9">
        <v>46</v>
      </c>
      <c r="G3251" s="9">
        <v>553</v>
      </c>
      <c r="H3251" s="5" t="s">
        <v>20</v>
      </c>
      <c r="I3251" s="5" t="s">
        <v>7515</v>
      </c>
      <c r="J3251" s="12" t="str">
        <f>HYPERLINK("https://www.boe.es/gazeta/dias/1807/05/29/pdfs/GMD-1807-46.pdf#page=11","Abrir facsímil")</f>
        <v>Abrir facsímil</v>
      </c>
      <c r="K3251" s="15" t="s">
        <v>22</v>
      </c>
    </row>
    <row r="3252" spans="1:11" ht="42" customHeight="1">
      <c r="A3252" s="4" t="s">
        <v>7516</v>
      </c>
      <c r="B3252" s="5" t="s">
        <v>7517</v>
      </c>
      <c r="C3252" s="5" t="s">
        <v>17</v>
      </c>
      <c r="D3252" s="5" t="s">
        <v>18</v>
      </c>
      <c r="E3252" s="5" t="s">
        <v>176</v>
      </c>
      <c r="F3252" s="9">
        <v>17</v>
      </c>
      <c r="G3252" s="9">
        <v>199</v>
      </c>
      <c r="H3252" s="5" t="s">
        <v>20</v>
      </c>
      <c r="I3252" s="5" t="s">
        <v>7518</v>
      </c>
      <c r="J3252" s="12" t="str">
        <f>HYPERLINK("https://www.boe.es/gazeta/dias/1807/02/20/pdfs/GMD-1807-17.pdf#page=11","Abrir facsímil")</f>
        <v>Abrir facsímil</v>
      </c>
      <c r="K3252" s="15" t="s">
        <v>22</v>
      </c>
    </row>
    <row r="3253" spans="1:11" ht="42" customHeight="1">
      <c r="A3253" s="4" t="s">
        <v>7516</v>
      </c>
      <c r="B3253" s="5" t="s">
        <v>7517</v>
      </c>
      <c r="C3253" s="5" t="s">
        <v>24</v>
      </c>
      <c r="D3253" s="5" t="s">
        <v>18</v>
      </c>
      <c r="E3253" s="5" t="s">
        <v>390</v>
      </c>
      <c r="F3253" s="9">
        <v>24</v>
      </c>
      <c r="G3253" s="9">
        <v>291</v>
      </c>
      <c r="H3253" s="5" t="s">
        <v>20</v>
      </c>
      <c r="I3253" s="5" t="s">
        <v>7519</v>
      </c>
      <c r="J3253" s="12" t="str">
        <f>HYPERLINK("https://www.boe.es/gazeta/dias/1807/03/13/pdfs/GMD-1807-24.pdf#page=15","Abrir facsímil")</f>
        <v>Abrir facsímil</v>
      </c>
      <c r="K3253" s="15" t="s">
        <v>22</v>
      </c>
    </row>
    <row r="3254" spans="1:11" ht="42" customHeight="1">
      <c r="A3254" s="4" t="s">
        <v>7516</v>
      </c>
      <c r="B3254" s="5" t="s">
        <v>7517</v>
      </c>
      <c r="C3254" s="5" t="s">
        <v>24</v>
      </c>
      <c r="D3254" s="5" t="s">
        <v>18</v>
      </c>
      <c r="E3254" s="5" t="s">
        <v>2914</v>
      </c>
      <c r="F3254" s="9">
        <v>29</v>
      </c>
      <c r="G3254" s="9">
        <v>348</v>
      </c>
      <c r="H3254" s="5" t="s">
        <v>20</v>
      </c>
      <c r="I3254" s="5" t="s">
        <v>7520</v>
      </c>
      <c r="J3254" s="12" t="str">
        <f>HYPERLINK("https://www.boe.es/gazeta/dias/1807/03/31/pdfs/GMD-1807-29.pdf#page=12","Abrir facsímil")</f>
        <v>Abrir facsímil</v>
      </c>
      <c r="K3254" s="15" t="s">
        <v>22</v>
      </c>
    </row>
    <row r="3255" spans="1:11" ht="42" customHeight="1">
      <c r="A3255" s="4" t="s">
        <v>7516</v>
      </c>
      <c r="B3255" s="5" t="s">
        <v>7517</v>
      </c>
      <c r="C3255" s="5" t="s">
        <v>24</v>
      </c>
      <c r="D3255" s="5" t="s">
        <v>18</v>
      </c>
      <c r="E3255" s="5" t="s">
        <v>62</v>
      </c>
      <c r="F3255" s="9">
        <v>68</v>
      </c>
      <c r="G3255" s="9">
        <v>786</v>
      </c>
      <c r="H3255" s="5" t="s">
        <v>20</v>
      </c>
      <c r="I3255" s="5" t="s">
        <v>7521</v>
      </c>
      <c r="J3255" s="12" t="str">
        <f>HYPERLINK("https://www.boe.es/gazeta/dias/1807/07/31/pdfs/GMD-1807-68.pdf#page=10","Abrir facsímil")</f>
        <v>Abrir facsímil</v>
      </c>
      <c r="K3255" s="15" t="s">
        <v>22</v>
      </c>
    </row>
    <row r="3256" spans="1:11" ht="42" customHeight="1">
      <c r="A3256" s="4" t="s">
        <v>7516</v>
      </c>
      <c r="B3256" s="5" t="s">
        <v>7517</v>
      </c>
      <c r="C3256" s="5" t="s">
        <v>24</v>
      </c>
      <c r="D3256" s="5" t="s">
        <v>18</v>
      </c>
      <c r="E3256" s="5" t="s">
        <v>123</v>
      </c>
      <c r="F3256" s="9">
        <v>70</v>
      </c>
      <c r="G3256" s="9">
        <v>807</v>
      </c>
      <c r="H3256" s="5" t="s">
        <v>20</v>
      </c>
      <c r="I3256" s="5" t="s">
        <v>7522</v>
      </c>
      <c r="J3256" s="12" t="str">
        <f>HYPERLINK("https://www.boe.es/gazeta/dias/1807/08/04/pdfs/GMD-1807-70.pdf#page=11","Abrir facsímil")</f>
        <v>Abrir facsímil</v>
      </c>
      <c r="K3256" s="15" t="s">
        <v>22</v>
      </c>
    </row>
    <row r="3257" spans="1:11" ht="42" customHeight="1">
      <c r="A3257" s="4" t="s">
        <v>7516</v>
      </c>
      <c r="B3257" s="5" t="s">
        <v>7517</v>
      </c>
      <c r="C3257" s="5" t="s">
        <v>24</v>
      </c>
      <c r="D3257" s="5" t="s">
        <v>18</v>
      </c>
      <c r="E3257" s="5" t="s">
        <v>156</v>
      </c>
      <c r="F3257" s="9">
        <v>74</v>
      </c>
      <c r="G3257" s="9">
        <v>859</v>
      </c>
      <c r="H3257" s="5" t="s">
        <v>20</v>
      </c>
      <c r="I3257" s="5" t="s">
        <v>7523</v>
      </c>
      <c r="J3257" s="12" t="str">
        <f>HYPERLINK("https://www.boe.es/gazeta/dias/1807/08/18/pdfs/GMD-1807-74.pdf#page=11","Abrir facsímil")</f>
        <v>Abrir facsímil</v>
      </c>
      <c r="K3257" s="15" t="s">
        <v>22</v>
      </c>
    </row>
    <row r="3258" spans="1:11" ht="42" customHeight="1">
      <c r="A3258" s="4" t="s">
        <v>7516</v>
      </c>
      <c r="B3258" s="5" t="s">
        <v>7517</v>
      </c>
      <c r="C3258" s="5" t="s">
        <v>89</v>
      </c>
      <c r="D3258" s="5" t="s">
        <v>90</v>
      </c>
      <c r="E3258" s="5" t="s">
        <v>929</v>
      </c>
      <c r="F3258" s="9">
        <v>85</v>
      </c>
      <c r="G3258" s="9">
        <v>994</v>
      </c>
      <c r="H3258" s="5" t="s">
        <v>20</v>
      </c>
      <c r="I3258" s="5" t="s">
        <v>7524</v>
      </c>
      <c r="J3258" s="12" t="str">
        <f>HYPERLINK("https://www.boe.es/gazeta/dias/1807/09/25/pdfs/GMD-1807-85.pdf#page=10","Abrir facsímil")</f>
        <v>Abrir facsímil</v>
      </c>
      <c r="K3258" s="15" t="s">
        <v>22</v>
      </c>
    </row>
    <row r="3259" spans="1:11" ht="42" customHeight="1">
      <c r="A3259" s="4" t="s">
        <v>7516</v>
      </c>
      <c r="B3259" s="5" t="s">
        <v>7517</v>
      </c>
      <c r="C3259" s="5" t="s">
        <v>24</v>
      </c>
      <c r="D3259" s="5" t="s">
        <v>18</v>
      </c>
      <c r="E3259" s="5" t="s">
        <v>301</v>
      </c>
      <c r="F3259" s="9">
        <v>89</v>
      </c>
      <c r="G3259" s="9">
        <v>1031</v>
      </c>
      <c r="H3259" s="5" t="s">
        <v>20</v>
      </c>
      <c r="I3259" s="5" t="s">
        <v>7525</v>
      </c>
      <c r="J3259" s="12" t="str">
        <f>HYPERLINK("https://www.boe.es/gazeta/dias/1807/10/02/pdfs/GMD-1807-89.pdf#page=11","Abrir facsímil")</f>
        <v>Abrir facsímil</v>
      </c>
      <c r="K3259" s="15" t="s">
        <v>22</v>
      </c>
    </row>
    <row r="3260" spans="1:11" ht="42" customHeight="1">
      <c r="A3260" s="4" t="s">
        <v>7516</v>
      </c>
      <c r="B3260" s="5" t="s">
        <v>7517</v>
      </c>
      <c r="C3260" s="5" t="s">
        <v>24</v>
      </c>
      <c r="D3260" s="5" t="s">
        <v>18</v>
      </c>
      <c r="E3260" s="5" t="s">
        <v>1456</v>
      </c>
      <c r="F3260" s="9">
        <v>98</v>
      </c>
      <c r="G3260" s="9">
        <v>1142</v>
      </c>
      <c r="H3260" s="5" t="s">
        <v>20</v>
      </c>
      <c r="I3260" s="5" t="s">
        <v>7526</v>
      </c>
      <c r="J3260" s="12" t="str">
        <f>HYPERLINK("https://www.boe.es/gazeta/dias/1807/11/03/pdfs/GMD-1807-98.pdf#page=10","Abrir facsímil")</f>
        <v>Abrir facsímil</v>
      </c>
      <c r="K3260" s="15" t="s">
        <v>22</v>
      </c>
    </row>
    <row r="3261" spans="1:11" ht="42" customHeight="1">
      <c r="A3261" s="4" t="s">
        <v>7516</v>
      </c>
      <c r="B3261" s="5" t="s">
        <v>7517</v>
      </c>
      <c r="C3261" s="5" t="s">
        <v>24</v>
      </c>
      <c r="D3261" s="5" t="s">
        <v>18</v>
      </c>
      <c r="E3261" s="5" t="s">
        <v>327</v>
      </c>
      <c r="F3261" s="9">
        <v>108</v>
      </c>
      <c r="G3261" s="9">
        <v>1262</v>
      </c>
      <c r="H3261" s="5" t="s">
        <v>20</v>
      </c>
      <c r="I3261" s="5" t="s">
        <v>7527</v>
      </c>
      <c r="J3261" s="12" t="str">
        <f>HYPERLINK("https://www.boe.es/gazeta/dias/1807/12/04/pdfs/GMD-1807-108.pdf#page=10","Abrir facsímil")</f>
        <v>Abrir facsímil</v>
      </c>
      <c r="K3261" s="15" t="s">
        <v>22</v>
      </c>
    </row>
    <row r="3262" spans="1:11" ht="42" customHeight="1">
      <c r="A3262" s="4" t="s">
        <v>7528</v>
      </c>
      <c r="B3262" s="5" t="s">
        <v>7529</v>
      </c>
      <c r="C3262" s="5" t="s">
        <v>24</v>
      </c>
      <c r="D3262" s="5" t="s">
        <v>18</v>
      </c>
      <c r="E3262" s="5" t="s">
        <v>215</v>
      </c>
      <c r="F3262" s="9">
        <v>5</v>
      </c>
      <c r="G3262" s="9">
        <v>55</v>
      </c>
      <c r="H3262" s="5" t="s">
        <v>20</v>
      </c>
      <c r="I3262" s="5" t="s">
        <v>7530</v>
      </c>
      <c r="J3262" s="12" t="str">
        <f>HYPERLINK("https://www.boe.es/gazeta/dias/1807/01/16/pdfs/GMD-1807-5.pdf#page=11","Abrir facsímil")</f>
        <v>Abrir facsímil</v>
      </c>
      <c r="K3262" s="15" t="s">
        <v>22</v>
      </c>
    </row>
    <row r="3263" spans="1:11" ht="42" customHeight="1">
      <c r="A3263" s="4" t="s">
        <v>7531</v>
      </c>
      <c r="B3263" s="5" t="s">
        <v>7532</v>
      </c>
      <c r="C3263" s="5" t="s">
        <v>28</v>
      </c>
      <c r="D3263" s="5" t="s">
        <v>29</v>
      </c>
      <c r="E3263" s="5" t="s">
        <v>301</v>
      </c>
      <c r="F3263" s="9">
        <v>89</v>
      </c>
      <c r="G3263" s="9">
        <v>1030</v>
      </c>
      <c r="H3263" s="5" t="s">
        <v>20</v>
      </c>
      <c r="I3263" s="5" t="s">
        <v>7533</v>
      </c>
      <c r="J3263" s="12" t="str">
        <f>HYPERLINK("https://www.boe.es/gazeta/dias/1807/10/02/pdfs/GMD-1807-89.pdf#page=10","Abrir facsímil")</f>
        <v>Abrir facsímil</v>
      </c>
      <c r="K3263" s="15" t="s">
        <v>22</v>
      </c>
    </row>
    <row r="3264" spans="1:11" ht="42" customHeight="1">
      <c r="A3264" s="4" t="s">
        <v>7534</v>
      </c>
      <c r="B3264" s="5" t="s">
        <v>7535</v>
      </c>
      <c r="C3264" s="5" t="s">
        <v>89</v>
      </c>
      <c r="D3264" s="5" t="s">
        <v>90</v>
      </c>
      <c r="E3264" s="5" t="s">
        <v>131</v>
      </c>
      <c r="F3264" s="9">
        <v>28</v>
      </c>
      <c r="G3264" s="9">
        <v>336</v>
      </c>
      <c r="H3264" s="5" t="s">
        <v>20</v>
      </c>
      <c r="I3264" s="5" t="s">
        <v>7536</v>
      </c>
      <c r="J3264" s="12" t="str">
        <f>HYPERLINK("https://www.boe.es/gazeta/dias/1807/03/27/pdfs/GMD-1807-28.pdf#page=8","Abrir facsímil")</f>
        <v>Abrir facsímil</v>
      </c>
      <c r="K3264" s="15" t="s">
        <v>22</v>
      </c>
    </row>
    <row r="3265" spans="1:11" ht="42" customHeight="1">
      <c r="A3265" s="4" t="s">
        <v>7537</v>
      </c>
      <c r="B3265" s="5" t="s">
        <v>7538</v>
      </c>
      <c r="C3265" s="5" t="s">
        <v>34</v>
      </c>
      <c r="D3265" s="5" t="s">
        <v>35</v>
      </c>
      <c r="E3265" s="5" t="s">
        <v>186</v>
      </c>
      <c r="F3265" s="9">
        <v>72</v>
      </c>
      <c r="G3265" s="9">
        <v>835</v>
      </c>
      <c r="H3265" s="5" t="s">
        <v>20</v>
      </c>
      <c r="I3265" s="5" t="s">
        <v>7539</v>
      </c>
      <c r="J3265" s="12" t="str">
        <f>HYPERLINK("https://www.boe.es/gazeta/dias/1807/08/11/pdfs/GMD-1807-72.pdf#page=15","Abrir facsímil")</f>
        <v>Abrir facsímil</v>
      </c>
      <c r="K3265" s="15" t="s">
        <v>22</v>
      </c>
    </row>
    <row r="3266" spans="1:11" ht="42" customHeight="1">
      <c r="A3266" s="4" t="s">
        <v>7540</v>
      </c>
      <c r="B3266" s="5" t="s">
        <v>7541</v>
      </c>
      <c r="C3266" s="5" t="s">
        <v>28</v>
      </c>
      <c r="D3266" s="5" t="s">
        <v>29</v>
      </c>
      <c r="E3266" s="5" t="s">
        <v>414</v>
      </c>
      <c r="F3266" s="9">
        <v>40</v>
      </c>
      <c r="G3266" s="9">
        <v>481</v>
      </c>
      <c r="H3266" s="5" t="s">
        <v>20</v>
      </c>
      <c r="I3266" s="5" t="s">
        <v>7542</v>
      </c>
      <c r="J3266" s="12" t="str">
        <f>HYPERLINK("https://www.boe.es/gazeta/dias/1807/05/08/pdfs/GMD-1807-40.pdf#page=11","Abrir facsímil")</f>
        <v>Abrir facsímil</v>
      </c>
      <c r="K3266" s="15" t="s">
        <v>22</v>
      </c>
    </row>
    <row r="3267" spans="1:11" ht="42" customHeight="1">
      <c r="A3267" s="4" t="s">
        <v>7543</v>
      </c>
      <c r="B3267" s="5" t="s">
        <v>7544</v>
      </c>
      <c r="C3267" s="5" t="s">
        <v>69</v>
      </c>
      <c r="D3267" s="5" t="s">
        <v>70</v>
      </c>
      <c r="E3267" s="5" t="s">
        <v>71</v>
      </c>
      <c r="F3267" s="9">
        <v>35</v>
      </c>
      <c r="G3267" s="9" t="s">
        <v>72</v>
      </c>
      <c r="H3267" s="5" t="s">
        <v>20</v>
      </c>
      <c r="I3267" s="5" t="s">
        <v>7545</v>
      </c>
      <c r="J3267" s="12" t="str">
        <f>HYPERLINK("https://www.boe.es/gazeta/dias/1807/04/21/pdfs/C00001-00004.pdf#page=1","Abrir facsímil")</f>
        <v>Abrir facsímil</v>
      </c>
      <c r="K3267" s="15" t="s">
        <v>22</v>
      </c>
    </row>
    <row r="3268" spans="1:11" ht="42" customHeight="1">
      <c r="A3268" s="4" t="s">
        <v>7546</v>
      </c>
      <c r="B3268" s="5" t="s">
        <v>7547</v>
      </c>
      <c r="C3268" s="5" t="s">
        <v>28</v>
      </c>
      <c r="D3268" s="5" t="s">
        <v>29</v>
      </c>
      <c r="E3268" s="5" t="s">
        <v>94</v>
      </c>
      <c r="F3268" s="9">
        <v>22</v>
      </c>
      <c r="G3268" s="9">
        <v>255</v>
      </c>
      <c r="H3268" s="5" t="s">
        <v>20</v>
      </c>
      <c r="I3268" s="5" t="s">
        <v>7548</v>
      </c>
      <c r="J3268" s="12" t="str">
        <f>HYPERLINK("https://www.boe.es/gazeta/dias/1807/03/06/pdfs/GMD-1807-22.pdf#page=7","Abrir facsímil")</f>
        <v>Abrir facsímil</v>
      </c>
      <c r="K3268" s="15" t="s">
        <v>22</v>
      </c>
    </row>
    <row r="3269" spans="1:11" ht="42" customHeight="1">
      <c r="A3269" s="4" t="s">
        <v>7549</v>
      </c>
      <c r="B3269" s="5" t="s">
        <v>7550</v>
      </c>
      <c r="C3269" s="5" t="s">
        <v>89</v>
      </c>
      <c r="D3269" s="5" t="s">
        <v>90</v>
      </c>
      <c r="E3269" s="5" t="s">
        <v>301</v>
      </c>
      <c r="F3269" s="9">
        <v>89</v>
      </c>
      <c r="G3269" s="9">
        <v>1032</v>
      </c>
      <c r="H3269" s="5" t="s">
        <v>20</v>
      </c>
      <c r="I3269" s="5" t="s">
        <v>7551</v>
      </c>
      <c r="J3269" s="12" t="str">
        <f>HYPERLINK("https://www.boe.es/gazeta/dias/1807/10/02/pdfs/GMD-1807-89.pdf#page=12","Abrir facsímil")</f>
        <v>Abrir facsímil</v>
      </c>
      <c r="K3269" s="15" t="s">
        <v>22</v>
      </c>
    </row>
    <row r="3270" spans="1:11" ht="42" customHeight="1">
      <c r="A3270" s="4" t="s">
        <v>7552</v>
      </c>
      <c r="B3270" s="5" t="s">
        <v>7553</v>
      </c>
      <c r="C3270" s="5" t="s">
        <v>49</v>
      </c>
      <c r="D3270" s="5" t="s">
        <v>50</v>
      </c>
      <c r="E3270" s="5" t="s">
        <v>106</v>
      </c>
      <c r="F3270" s="9">
        <v>39</v>
      </c>
      <c r="G3270" s="9">
        <v>461</v>
      </c>
      <c r="H3270" s="5" t="s">
        <v>20</v>
      </c>
      <c r="I3270" s="5" t="s">
        <v>7554</v>
      </c>
      <c r="J3270" s="12" t="str">
        <f>HYPERLINK("https://www.boe.es/gazeta/dias/1807/05/05/pdfs/GMD-1807-39.pdf#page=3","Abrir facsímil")</f>
        <v>Abrir facsímil</v>
      </c>
      <c r="K3270" s="15" t="s">
        <v>22</v>
      </c>
    </row>
    <row r="3271" spans="1:11" ht="42" customHeight="1">
      <c r="A3271" s="4" t="s">
        <v>7555</v>
      </c>
      <c r="B3271" s="5" t="s">
        <v>7556</v>
      </c>
      <c r="C3271" s="5" t="s">
        <v>34</v>
      </c>
      <c r="D3271" s="5" t="s">
        <v>35</v>
      </c>
      <c r="E3271" s="5" t="s">
        <v>25</v>
      </c>
      <c r="F3271" s="9">
        <v>45</v>
      </c>
      <c r="G3271" s="9">
        <v>537</v>
      </c>
      <c r="H3271" s="5" t="s">
        <v>20</v>
      </c>
      <c r="I3271" s="5" t="s">
        <v>7557</v>
      </c>
      <c r="J3271" s="12" t="str">
        <f>HYPERLINK("https://www.boe.es/gazeta/dias/1807/05/26/pdfs/GMD-1807-45.pdf#page=7","Abrir facsímil")</f>
        <v>Abrir facsímil</v>
      </c>
      <c r="K3271" s="15" t="s">
        <v>22</v>
      </c>
    </row>
    <row r="3272" spans="1:11" ht="42" customHeight="1">
      <c r="A3272" s="4" t="s">
        <v>7558</v>
      </c>
      <c r="B3272" s="5" t="s">
        <v>7559</v>
      </c>
      <c r="C3272" s="5" t="s">
        <v>89</v>
      </c>
      <c r="D3272" s="5" t="s">
        <v>90</v>
      </c>
      <c r="E3272" s="5" t="s">
        <v>71</v>
      </c>
      <c r="F3272" s="9">
        <v>35</v>
      </c>
      <c r="G3272" s="9">
        <v>420</v>
      </c>
      <c r="H3272" s="5" t="s">
        <v>20</v>
      </c>
      <c r="I3272" s="5" t="s">
        <v>7560</v>
      </c>
      <c r="J3272" s="12" t="str">
        <f>HYPERLINK("https://www.boe.es/gazeta/dias/1807/04/21/pdfs/GMD-1807-35.pdf#page=12","Abrir facsímil")</f>
        <v>Abrir facsímil</v>
      </c>
      <c r="K3272" s="15" t="s">
        <v>22</v>
      </c>
    </row>
    <row r="3273" spans="1:11" ht="42" customHeight="1">
      <c r="A3273" s="4" t="s">
        <v>7558</v>
      </c>
      <c r="B3273" s="5" t="s">
        <v>7559</v>
      </c>
      <c r="C3273" s="5" t="s">
        <v>34</v>
      </c>
      <c r="D3273" s="5" t="s">
        <v>35</v>
      </c>
      <c r="E3273" s="5" t="s">
        <v>106</v>
      </c>
      <c r="F3273" s="9">
        <v>39</v>
      </c>
      <c r="G3273" s="9">
        <v>465</v>
      </c>
      <c r="H3273" s="5" t="s">
        <v>20</v>
      </c>
      <c r="I3273" s="5" t="s">
        <v>7561</v>
      </c>
      <c r="J3273" s="12" t="str">
        <f>HYPERLINK("https://www.boe.es/gazeta/dias/1807/05/05/pdfs/GMD-1807-39.pdf#page=7","Abrir facsímil")</f>
        <v>Abrir facsímil</v>
      </c>
      <c r="K3273" s="15" t="s">
        <v>22</v>
      </c>
    </row>
    <row r="3274" spans="1:11" ht="42" customHeight="1">
      <c r="A3274" s="4" t="s">
        <v>7558</v>
      </c>
      <c r="B3274" s="5" t="s">
        <v>7559</v>
      </c>
      <c r="C3274" s="5" t="s">
        <v>34</v>
      </c>
      <c r="D3274" s="5" t="s">
        <v>35</v>
      </c>
      <c r="E3274" s="5" t="s">
        <v>309</v>
      </c>
      <c r="F3274" s="9">
        <v>107</v>
      </c>
      <c r="G3274" s="9">
        <v>1247</v>
      </c>
      <c r="H3274" s="5" t="s">
        <v>20</v>
      </c>
      <c r="I3274" s="5" t="s">
        <v>7562</v>
      </c>
      <c r="J3274" s="12" t="str">
        <f>HYPERLINK("https://www.boe.es/gazeta/dias/1807/12/01/pdfs/GMD-1807-107.pdf#page=7","Abrir facsímil")</f>
        <v>Abrir facsímil</v>
      </c>
      <c r="K3274" s="15" t="s">
        <v>22</v>
      </c>
    </row>
    <row r="3275" spans="1:11" ht="42" customHeight="1">
      <c r="A3275" s="4" t="s">
        <v>7558</v>
      </c>
      <c r="B3275" s="5" t="s">
        <v>7559</v>
      </c>
      <c r="C3275" s="5" t="s">
        <v>89</v>
      </c>
      <c r="D3275" s="5" t="s">
        <v>90</v>
      </c>
      <c r="E3275" s="5" t="s">
        <v>91</v>
      </c>
      <c r="F3275" s="9">
        <v>109</v>
      </c>
      <c r="G3275" s="9">
        <v>1276</v>
      </c>
      <c r="H3275" s="5" t="s">
        <v>20</v>
      </c>
      <c r="I3275" s="5" t="s">
        <v>7563</v>
      </c>
      <c r="J3275" s="12" t="str">
        <f>HYPERLINK("https://www.boe.es/gazeta/dias/1807/12/08/pdfs/GMD-1807-109.pdf#page=12","Abrir facsímil")</f>
        <v>Abrir facsímil</v>
      </c>
      <c r="K3275" s="15" t="s">
        <v>22</v>
      </c>
    </row>
    <row r="3276" spans="1:11" ht="42" customHeight="1">
      <c r="A3276" s="4" t="s">
        <v>7564</v>
      </c>
      <c r="B3276" s="5" t="s">
        <v>7565</v>
      </c>
      <c r="C3276" s="5" t="s">
        <v>28</v>
      </c>
      <c r="D3276" s="5" t="s">
        <v>29</v>
      </c>
      <c r="E3276" s="5" t="s">
        <v>266</v>
      </c>
      <c r="F3276" s="9">
        <v>67</v>
      </c>
      <c r="G3276" s="9">
        <v>772</v>
      </c>
      <c r="H3276" s="5" t="s">
        <v>20</v>
      </c>
      <c r="I3276" s="5" t="s">
        <v>7566</v>
      </c>
      <c r="J3276" s="12" t="str">
        <f>HYPERLINK("https://www.boe.es/gazeta/dias/1807/07/28/pdfs/GMD-1807-67.pdf#page=8","Abrir facsímil")</f>
        <v>Abrir facsímil</v>
      </c>
      <c r="K3276" s="15" t="s">
        <v>22</v>
      </c>
    </row>
    <row r="3277" spans="1:11" ht="42" customHeight="1">
      <c r="A3277" s="4" t="s">
        <v>7567</v>
      </c>
      <c r="B3277" s="5" t="s">
        <v>7568</v>
      </c>
      <c r="C3277" s="5" t="s">
        <v>89</v>
      </c>
      <c r="D3277" s="5" t="s">
        <v>90</v>
      </c>
      <c r="E3277" s="5" t="s">
        <v>2914</v>
      </c>
      <c r="F3277" s="9">
        <v>29</v>
      </c>
      <c r="G3277" s="9">
        <v>348</v>
      </c>
      <c r="H3277" s="5" t="s">
        <v>20</v>
      </c>
      <c r="I3277" s="5" t="s">
        <v>7569</v>
      </c>
      <c r="J3277" s="12" t="str">
        <f>HYPERLINK("https://www.boe.es/gazeta/dias/1807/03/31/pdfs/GMD-1807-29.pdf#page=12","Abrir facsímil")</f>
        <v>Abrir facsímil</v>
      </c>
      <c r="K3277" s="15" t="s">
        <v>22</v>
      </c>
    </row>
    <row r="3278" spans="1:11" ht="42" customHeight="1">
      <c r="A3278" s="4" t="s">
        <v>7570</v>
      </c>
      <c r="B3278" s="5" t="s">
        <v>7571</v>
      </c>
      <c r="C3278" s="5" t="s">
        <v>28</v>
      </c>
      <c r="D3278" s="5" t="s">
        <v>29</v>
      </c>
      <c r="E3278" s="5" t="s">
        <v>572</v>
      </c>
      <c r="F3278" s="9">
        <v>14</v>
      </c>
      <c r="G3278" s="9">
        <v>164</v>
      </c>
      <c r="H3278" s="5" t="s">
        <v>20</v>
      </c>
      <c r="I3278" s="5" t="s">
        <v>7572</v>
      </c>
      <c r="J3278" s="12" t="str">
        <f>HYPERLINK("https://www.boe.es/gazeta/dias/1807/02/10/pdfs/GMD-1807-14.pdf#page=12","Abrir facsímil")</f>
        <v>Abrir facsímil</v>
      </c>
      <c r="K3278" s="15" t="s">
        <v>22</v>
      </c>
    </row>
    <row r="3279" spans="1:11" ht="42" customHeight="1">
      <c r="A3279" s="4" t="s">
        <v>7573</v>
      </c>
      <c r="B3279" s="5" t="s">
        <v>7574</v>
      </c>
      <c r="C3279" s="5" t="s">
        <v>34</v>
      </c>
      <c r="D3279" s="5" t="s">
        <v>35</v>
      </c>
      <c r="E3279" s="5" t="s">
        <v>464</v>
      </c>
      <c r="F3279" s="9">
        <v>18</v>
      </c>
      <c r="G3279" s="9">
        <v>212</v>
      </c>
      <c r="H3279" s="5" t="s">
        <v>20</v>
      </c>
      <c r="I3279" s="5" t="s">
        <v>7575</v>
      </c>
      <c r="J3279" s="12" t="str">
        <f>HYPERLINK("https://www.boe.es/gazeta/dias/1807/02/24/pdfs/GMD-1807-18.pdf#page=12","Abrir facsímil")</f>
        <v>Abrir facsímil</v>
      </c>
      <c r="K3279" s="15" t="s">
        <v>22</v>
      </c>
    </row>
    <row r="3280" spans="1:11" ht="42" customHeight="1">
      <c r="A3280" s="4" t="s">
        <v>7576</v>
      </c>
      <c r="B3280" s="5" t="s">
        <v>7576</v>
      </c>
      <c r="C3280" s="5" t="s">
        <v>89</v>
      </c>
      <c r="D3280" s="5" t="s">
        <v>90</v>
      </c>
      <c r="E3280" s="5" t="s">
        <v>567</v>
      </c>
      <c r="F3280" s="9">
        <v>55</v>
      </c>
      <c r="G3280" s="9">
        <v>662</v>
      </c>
      <c r="H3280" s="5" t="s">
        <v>20</v>
      </c>
      <c r="I3280" s="5" t="s">
        <v>7577</v>
      </c>
      <c r="J3280" s="12" t="str">
        <f>HYPERLINK("https://www.boe.es/gazeta/dias/1807/06/30/pdfs/GMD-1807-55.pdf#page=12","Abrir facsímil")</f>
        <v>Abrir facsímil</v>
      </c>
      <c r="K3280" s="15" t="s">
        <v>22</v>
      </c>
    </row>
    <row r="3281" spans="1:11" ht="42" customHeight="1">
      <c r="A3281" s="4" t="s">
        <v>7578</v>
      </c>
      <c r="B3281" s="5" t="s">
        <v>7579</v>
      </c>
      <c r="C3281" s="5" t="s">
        <v>34</v>
      </c>
      <c r="D3281" s="5" t="s">
        <v>35</v>
      </c>
      <c r="E3281" s="5" t="s">
        <v>471</v>
      </c>
      <c r="F3281" s="9">
        <v>51</v>
      </c>
      <c r="G3281" s="9">
        <v>606</v>
      </c>
      <c r="H3281" s="5" t="s">
        <v>20</v>
      </c>
      <c r="I3281" s="5" t="s">
        <v>7580</v>
      </c>
      <c r="J3281" s="12" t="str">
        <f>HYPERLINK("https://www.boe.es/gazeta/dias/1807/06/16/pdfs/GMD-1807-51.pdf#page=8","Abrir facsímil")</f>
        <v>Abrir facsímil</v>
      </c>
      <c r="K3281" s="15" t="s">
        <v>22</v>
      </c>
    </row>
    <row r="3282" spans="1:11" ht="42" customHeight="1">
      <c r="A3282" s="4" t="s">
        <v>7581</v>
      </c>
      <c r="B3282" s="5" t="s">
        <v>7582</v>
      </c>
      <c r="C3282" s="5" t="s">
        <v>49</v>
      </c>
      <c r="D3282" s="5" t="s">
        <v>50</v>
      </c>
      <c r="E3282" s="5" t="s">
        <v>595</v>
      </c>
      <c r="F3282" s="9">
        <v>59</v>
      </c>
      <c r="G3282" s="9">
        <v>698</v>
      </c>
      <c r="H3282" s="5" t="s">
        <v>20</v>
      </c>
      <c r="I3282" s="5" t="s">
        <v>7583</v>
      </c>
      <c r="J3282" s="12" t="str">
        <f>HYPERLINK("https://www.boe.es/gazeta/dias/1807/07/10/pdfs/GMD-1807-59.pdf#page=4","Abrir facsímil")</f>
        <v>Abrir facsímil</v>
      </c>
      <c r="K3282" s="15" t="s">
        <v>22</v>
      </c>
    </row>
    <row r="3283" spans="1:11" ht="42" customHeight="1">
      <c r="A3283" s="4" t="s">
        <v>7584</v>
      </c>
      <c r="B3283" s="5" t="s">
        <v>7585</v>
      </c>
      <c r="C3283" s="5" t="s">
        <v>24</v>
      </c>
      <c r="D3283" s="5" t="s">
        <v>18</v>
      </c>
      <c r="E3283" s="5" t="s">
        <v>152</v>
      </c>
      <c r="F3283" s="9">
        <v>61</v>
      </c>
      <c r="G3283" s="9">
        <v>722</v>
      </c>
      <c r="H3283" s="5" t="s">
        <v>20</v>
      </c>
      <c r="I3283" s="5" t="s">
        <v>7586</v>
      </c>
      <c r="J3283" s="12" t="str">
        <f>HYPERLINK("https://www.boe.es/gazeta/dias/1807/07/14/pdfs/GMD-1807-61.pdf#page=8","Abrir facsímil")</f>
        <v>Abrir facsímil</v>
      </c>
      <c r="K3283" s="15" t="s">
        <v>22</v>
      </c>
    </row>
    <row r="3284" spans="1:11" ht="42" customHeight="1">
      <c r="A3284" s="4" t="s">
        <v>7587</v>
      </c>
      <c r="B3284" s="5" t="s">
        <v>7588</v>
      </c>
      <c r="C3284" s="5" t="s">
        <v>17</v>
      </c>
      <c r="D3284" s="5" t="s">
        <v>18</v>
      </c>
      <c r="E3284" s="5" t="s">
        <v>245</v>
      </c>
      <c r="F3284" s="9">
        <v>97</v>
      </c>
      <c r="G3284" s="9">
        <v>1127</v>
      </c>
      <c r="H3284" s="5" t="s">
        <v>20</v>
      </c>
      <c r="I3284" s="5" t="s">
        <v>7589</v>
      </c>
      <c r="J3284" s="12" t="str">
        <f>HYPERLINK("https://www.boe.es/gazeta/dias/1807/10/30/pdfs/GMD-1807-97.pdf#page=7","Abrir facsímil")</f>
        <v>Abrir facsímil</v>
      </c>
      <c r="K3284" s="15" t="s">
        <v>22</v>
      </c>
    </row>
    <row r="3285" spans="1:11" ht="42" customHeight="1">
      <c r="A3285" s="4" t="s">
        <v>7590</v>
      </c>
      <c r="B3285" s="5" t="s">
        <v>7591</v>
      </c>
      <c r="C3285" s="5" t="s">
        <v>252</v>
      </c>
      <c r="D3285" s="5" t="s">
        <v>253</v>
      </c>
      <c r="E3285" s="5" t="s">
        <v>314</v>
      </c>
      <c r="F3285" s="9" t="s">
        <v>315</v>
      </c>
      <c r="G3285" s="9">
        <v>1217</v>
      </c>
      <c r="H3285" s="5" t="s">
        <v>20</v>
      </c>
      <c r="I3285" s="5" t="s">
        <v>7592</v>
      </c>
      <c r="J3285" s="12" t="str">
        <f>HYPERLINK("https://www.boe.es/gazeta/dias/1807/11/26/pdfs/GMD-1807-105E.pdf#page=1","Abrir facsímil")</f>
        <v>Abrir facsímil</v>
      </c>
      <c r="K3285" s="15" t="s">
        <v>22</v>
      </c>
    </row>
    <row r="3286" spans="1:11" ht="42" customHeight="1">
      <c r="A3286" s="4" t="s">
        <v>7593</v>
      </c>
      <c r="B3286" s="5" t="s">
        <v>7593</v>
      </c>
      <c r="C3286" s="5" t="s">
        <v>49</v>
      </c>
      <c r="D3286" s="5" t="s">
        <v>50</v>
      </c>
      <c r="E3286" s="5" t="s">
        <v>505</v>
      </c>
      <c r="F3286" s="9">
        <v>47</v>
      </c>
      <c r="G3286" s="9">
        <v>556</v>
      </c>
      <c r="H3286" s="5" t="s">
        <v>20</v>
      </c>
      <c r="I3286" s="5" t="s">
        <v>7594</v>
      </c>
      <c r="J3286" s="12" t="str">
        <f>HYPERLINK("https://www.boe.es/gazeta/dias/1807/06/02/pdfs/GMD-1807-47.pdf#page=2","Abrir facsímil")</f>
        <v>Abrir facsímil</v>
      </c>
      <c r="K3286" s="15" t="s">
        <v>22</v>
      </c>
    </row>
    <row r="3287" spans="1:11" ht="42" customHeight="1">
      <c r="A3287" s="4" t="s">
        <v>7595</v>
      </c>
      <c r="B3287" s="5" t="s">
        <v>7596</v>
      </c>
      <c r="C3287" s="5" t="s">
        <v>28</v>
      </c>
      <c r="D3287" s="5" t="s">
        <v>29</v>
      </c>
      <c r="E3287" s="5" t="s">
        <v>361</v>
      </c>
      <c r="F3287" s="9">
        <v>113</v>
      </c>
      <c r="G3287" s="9">
        <v>1322</v>
      </c>
      <c r="H3287" s="5" t="s">
        <v>20</v>
      </c>
      <c r="I3287" s="5" t="s">
        <v>7597</v>
      </c>
      <c r="J3287" s="12" t="str">
        <f>HYPERLINK("https://www.boe.es/gazeta/dias/1807/12/22/pdfs/GMD-1807-113.pdf#page=10","Abrir facsímil")</f>
        <v>Abrir facsímil</v>
      </c>
      <c r="K3287" s="15" t="s">
        <v>22</v>
      </c>
    </row>
    <row r="3288" spans="1:11" ht="42" customHeight="1">
      <c r="A3288" s="4" t="s">
        <v>7598</v>
      </c>
      <c r="B3288" s="5" t="s">
        <v>7598</v>
      </c>
      <c r="C3288" s="5" t="s">
        <v>89</v>
      </c>
      <c r="D3288" s="5" t="s">
        <v>90</v>
      </c>
      <c r="E3288" s="5" t="s">
        <v>414</v>
      </c>
      <c r="F3288" s="9">
        <v>40</v>
      </c>
      <c r="G3288" s="9">
        <v>482</v>
      </c>
      <c r="H3288" s="5" t="s">
        <v>20</v>
      </c>
      <c r="I3288" s="5" t="s">
        <v>7599</v>
      </c>
      <c r="J3288" s="12" t="str">
        <f>HYPERLINK("https://www.boe.es/gazeta/dias/1807/05/08/pdfs/GMD-1807-40.pdf#page=12","Abrir facsímil")</f>
        <v>Abrir facsímil</v>
      </c>
      <c r="K3288" s="15" t="s">
        <v>22</v>
      </c>
    </row>
    <row r="3289" spans="1:11" ht="42" customHeight="1">
      <c r="A3289" s="4" t="s">
        <v>7600</v>
      </c>
      <c r="B3289" s="5" t="s">
        <v>7600</v>
      </c>
      <c r="C3289" s="5" t="s">
        <v>28</v>
      </c>
      <c r="D3289" s="5" t="s">
        <v>29</v>
      </c>
      <c r="E3289" s="5" t="s">
        <v>76</v>
      </c>
      <c r="F3289" s="9">
        <v>7</v>
      </c>
      <c r="G3289" s="9">
        <v>82</v>
      </c>
      <c r="H3289" s="5" t="s">
        <v>20</v>
      </c>
      <c r="I3289" s="5" t="s">
        <v>7601</v>
      </c>
      <c r="J3289" s="12" t="str">
        <f>HYPERLINK("https://www.boe.es/gazeta/dias/1807/01/20/pdfs/GMD-1807-7.pdf#page=14","Abrir facsímil")</f>
        <v>Abrir facsímil</v>
      </c>
      <c r="K3289" s="15" t="s">
        <v>22</v>
      </c>
    </row>
    <row r="3290" spans="1:11" ht="42" customHeight="1">
      <c r="A3290" s="4" t="s">
        <v>7602</v>
      </c>
      <c r="B3290" s="5" t="s">
        <v>7603</v>
      </c>
      <c r="C3290" s="5" t="s">
        <v>28</v>
      </c>
      <c r="D3290" s="5" t="s">
        <v>29</v>
      </c>
      <c r="E3290" s="5" t="s">
        <v>176</v>
      </c>
      <c r="F3290" s="9">
        <v>17</v>
      </c>
      <c r="G3290" s="9">
        <v>195</v>
      </c>
      <c r="H3290" s="5" t="s">
        <v>20</v>
      </c>
      <c r="I3290" s="5" t="s">
        <v>7604</v>
      </c>
      <c r="J3290" s="12" t="str">
        <f>HYPERLINK("https://www.boe.es/gazeta/dias/1807/02/20/pdfs/GMD-1807-17.pdf#page=7","Abrir facsímil")</f>
        <v>Abrir facsímil</v>
      </c>
      <c r="K3290" s="15" t="s">
        <v>22</v>
      </c>
    </row>
    <row r="3291" spans="1:11" ht="42" customHeight="1">
      <c r="A3291" s="4" t="s">
        <v>7605</v>
      </c>
      <c r="B3291" s="5" t="s">
        <v>7605</v>
      </c>
      <c r="C3291" s="5" t="s">
        <v>34</v>
      </c>
      <c r="D3291" s="5" t="s">
        <v>35</v>
      </c>
      <c r="E3291" s="5" t="s">
        <v>30</v>
      </c>
      <c r="F3291" s="9">
        <v>13</v>
      </c>
      <c r="G3291" s="9">
        <v>149</v>
      </c>
      <c r="H3291" s="5" t="s">
        <v>20</v>
      </c>
      <c r="I3291" s="5" t="s">
        <v>7606</v>
      </c>
      <c r="J3291" s="12" t="str">
        <f>HYPERLINK("https://www.boe.es/gazeta/dias/1807/02/06/pdfs/GMD-1807-13.pdf#page=9","Abrir facsímil")</f>
        <v>Abrir facsímil</v>
      </c>
      <c r="K3291" s="15" t="s">
        <v>22</v>
      </c>
    </row>
    <row r="3292" spans="1:11" ht="42" customHeight="1">
      <c r="A3292" s="4" t="s">
        <v>7607</v>
      </c>
      <c r="B3292" s="5" t="s">
        <v>7608</v>
      </c>
      <c r="C3292" s="5" t="s">
        <v>49</v>
      </c>
      <c r="D3292" s="5" t="s">
        <v>50</v>
      </c>
      <c r="E3292" s="5" t="s">
        <v>464</v>
      </c>
      <c r="F3292" s="9">
        <v>18</v>
      </c>
      <c r="G3292" s="9">
        <v>203</v>
      </c>
      <c r="H3292" s="5" t="s">
        <v>20</v>
      </c>
      <c r="I3292" s="5" t="s">
        <v>7609</v>
      </c>
      <c r="J3292" s="12" t="str">
        <f>HYPERLINK("https://www.boe.es/gazeta/dias/1807/02/24/pdfs/GMD-1807-18.pdf#page=3","Abrir facsímil")</f>
        <v>Abrir facsímil</v>
      </c>
      <c r="K3292" s="15" t="s">
        <v>22</v>
      </c>
    </row>
    <row r="3293" spans="1:11" ht="42" customHeight="1">
      <c r="A3293" s="4" t="s">
        <v>7607</v>
      </c>
      <c r="B3293" s="5" t="s">
        <v>7608</v>
      </c>
      <c r="C3293" s="5" t="s">
        <v>49</v>
      </c>
      <c r="D3293" s="5" t="s">
        <v>50</v>
      </c>
      <c r="E3293" s="5" t="s">
        <v>346</v>
      </c>
      <c r="F3293" s="9">
        <v>21</v>
      </c>
      <c r="G3293" s="9">
        <v>238</v>
      </c>
      <c r="H3293" s="5" t="s">
        <v>20</v>
      </c>
      <c r="I3293" s="5" t="s">
        <v>7610</v>
      </c>
      <c r="J3293" s="12" t="str">
        <f>HYPERLINK("https://www.boe.es/gazeta/dias/1807/03/03/pdfs/GMD-1807-21.pdf#page=2","Abrir facsímil")</f>
        <v>Abrir facsímil</v>
      </c>
      <c r="K3293" s="15" t="s">
        <v>22</v>
      </c>
    </row>
    <row r="3294" spans="1:11" ht="42" customHeight="1">
      <c r="A3294" s="4" t="s">
        <v>7611</v>
      </c>
      <c r="B3294" s="5" t="s">
        <v>7612</v>
      </c>
      <c r="C3294" s="5" t="s">
        <v>17</v>
      </c>
      <c r="D3294" s="5" t="s">
        <v>18</v>
      </c>
      <c r="E3294" s="5" t="s">
        <v>426</v>
      </c>
      <c r="F3294" s="9">
        <v>93</v>
      </c>
      <c r="G3294" s="9">
        <v>1074</v>
      </c>
      <c r="H3294" s="5" t="s">
        <v>20</v>
      </c>
      <c r="I3294" s="5" t="s">
        <v>7613</v>
      </c>
      <c r="J3294" s="12" t="str">
        <f>HYPERLINK("https://www.boe.es/gazeta/dias/1807/10/16/pdfs/GMD-1807-93.pdf#page=2","Abrir facsímil")</f>
        <v>Abrir facsímil</v>
      </c>
      <c r="K3294" s="15" t="s">
        <v>22</v>
      </c>
    </row>
    <row r="3295" spans="1:11" ht="42" customHeight="1">
      <c r="A3295" s="4" t="s">
        <v>7611</v>
      </c>
      <c r="B3295" s="5" t="s">
        <v>7612</v>
      </c>
      <c r="C3295" s="5" t="s">
        <v>49</v>
      </c>
      <c r="D3295" s="5" t="s">
        <v>50</v>
      </c>
      <c r="E3295" s="5" t="s">
        <v>1177</v>
      </c>
      <c r="F3295" s="9">
        <v>101</v>
      </c>
      <c r="G3295" s="9">
        <v>1170</v>
      </c>
      <c r="H3295" s="5" t="s">
        <v>20</v>
      </c>
      <c r="I3295" s="5" t="s">
        <v>7614</v>
      </c>
      <c r="J3295" s="12" t="str">
        <f>HYPERLINK("https://www.boe.es/gazeta/dias/1807/11/13/pdfs/GMD-1807-101.pdf#page=2","Abrir facsímil")</f>
        <v>Abrir facsímil</v>
      </c>
      <c r="K3295" s="15" t="s">
        <v>22</v>
      </c>
    </row>
    <row r="3296" spans="1:11" ht="42" customHeight="1">
      <c r="A3296" s="4" t="s">
        <v>7615</v>
      </c>
      <c r="B3296" s="5" t="s">
        <v>7616</v>
      </c>
      <c r="C3296" s="5" t="s">
        <v>28</v>
      </c>
      <c r="D3296" s="5" t="s">
        <v>29</v>
      </c>
      <c r="E3296" s="5" t="s">
        <v>686</v>
      </c>
      <c r="F3296" s="9">
        <v>106</v>
      </c>
      <c r="G3296" s="9">
        <v>1237</v>
      </c>
      <c r="H3296" s="5" t="s">
        <v>20</v>
      </c>
      <c r="I3296" s="5" t="s">
        <v>7617</v>
      </c>
      <c r="J3296" s="12" t="str">
        <f>HYPERLINK("https://www.boe.es/gazeta/dias/1807/11/27/pdfs/GMD-1807-106.pdf#page=9","Abrir facsímil")</f>
        <v>Abrir facsímil</v>
      </c>
      <c r="K3296" s="15" t="s">
        <v>22</v>
      </c>
    </row>
    <row r="3297" spans="1:11" ht="42" customHeight="1">
      <c r="A3297" s="4" t="s">
        <v>7618</v>
      </c>
      <c r="B3297" s="5" t="s">
        <v>7619</v>
      </c>
      <c r="C3297" s="5" t="s">
        <v>49</v>
      </c>
      <c r="D3297" s="5" t="s">
        <v>50</v>
      </c>
      <c r="E3297" s="5" t="s">
        <v>114</v>
      </c>
      <c r="F3297" s="9">
        <v>46</v>
      </c>
      <c r="G3297" s="9">
        <v>544</v>
      </c>
      <c r="H3297" s="5" t="s">
        <v>20</v>
      </c>
      <c r="I3297" s="5" t="s">
        <v>7620</v>
      </c>
      <c r="J3297" s="12" t="str">
        <f>HYPERLINK("https://www.boe.es/gazeta/dias/1807/05/29/pdfs/GMD-1807-46.pdf#page=2","Abrir facsímil")</f>
        <v>Abrir facsímil</v>
      </c>
      <c r="K3297" s="15" t="s">
        <v>22</v>
      </c>
    </row>
    <row r="3298" spans="1:11" ht="42" customHeight="1">
      <c r="A3298" s="4" t="s">
        <v>7621</v>
      </c>
      <c r="B3298" s="5" t="s">
        <v>7621</v>
      </c>
      <c r="C3298" s="5" t="s">
        <v>34</v>
      </c>
      <c r="D3298" s="5" t="s">
        <v>35</v>
      </c>
      <c r="E3298" s="5" t="s">
        <v>414</v>
      </c>
      <c r="F3298" s="9">
        <v>40</v>
      </c>
      <c r="G3298" s="9">
        <v>482</v>
      </c>
      <c r="H3298" s="5" t="s">
        <v>20</v>
      </c>
      <c r="I3298" s="5" t="s">
        <v>7622</v>
      </c>
      <c r="J3298" s="12" t="str">
        <f>HYPERLINK("https://www.boe.es/gazeta/dias/1807/05/08/pdfs/GMD-1807-40.pdf#page=12","Abrir facsímil")</f>
        <v>Abrir facsímil</v>
      </c>
      <c r="K3298" s="15" t="s">
        <v>22</v>
      </c>
    </row>
    <row r="3299" spans="1:11" ht="42" customHeight="1">
      <c r="A3299" s="4" t="s">
        <v>7623</v>
      </c>
      <c r="B3299" s="5" t="s">
        <v>7624</v>
      </c>
      <c r="C3299" s="5" t="s">
        <v>17</v>
      </c>
      <c r="D3299" s="5" t="s">
        <v>18</v>
      </c>
      <c r="E3299" s="5" t="s">
        <v>19</v>
      </c>
      <c r="F3299" s="9">
        <v>41</v>
      </c>
      <c r="G3299" s="9">
        <v>489</v>
      </c>
      <c r="H3299" s="5" t="s">
        <v>20</v>
      </c>
      <c r="I3299" s="5" t="s">
        <v>7625</v>
      </c>
      <c r="J3299" s="12" t="str">
        <f>HYPERLINK("https://www.boe.es/gazeta/dias/1807/05/12/pdfs/GMD-1807-41.pdf#page=7","Abrir facsímil")</f>
        <v>Abrir facsímil</v>
      </c>
      <c r="K3299" s="15" t="s">
        <v>22</v>
      </c>
    </row>
    <row r="3300" spans="1:11" ht="42" customHeight="1">
      <c r="A3300" s="4" t="s">
        <v>7626</v>
      </c>
      <c r="B3300" s="5" t="s">
        <v>7627</v>
      </c>
      <c r="C3300" s="5" t="s">
        <v>34</v>
      </c>
      <c r="D3300" s="5" t="s">
        <v>35</v>
      </c>
      <c r="E3300" s="5" t="s">
        <v>507</v>
      </c>
      <c r="F3300" s="9">
        <v>48</v>
      </c>
      <c r="G3300" s="9">
        <v>571</v>
      </c>
      <c r="H3300" s="5" t="s">
        <v>20</v>
      </c>
      <c r="I3300" s="5" t="s">
        <v>7628</v>
      </c>
      <c r="J3300" s="12" t="str">
        <f>HYPERLINK("https://www.boe.es/gazeta/dias/1807/06/05/pdfs/GMD-1807-48.pdf#page=9","Abrir facsímil")</f>
        <v>Abrir facsímil</v>
      </c>
      <c r="K3300" s="15" t="s">
        <v>22</v>
      </c>
    </row>
    <row r="3301" spans="1:11" ht="42" customHeight="1">
      <c r="A3301" s="4" t="s">
        <v>7629</v>
      </c>
      <c r="B3301" s="5" t="s">
        <v>7629</v>
      </c>
      <c r="C3301" s="5" t="s">
        <v>49</v>
      </c>
      <c r="D3301" s="5" t="s">
        <v>50</v>
      </c>
      <c r="E3301" s="5" t="s">
        <v>131</v>
      </c>
      <c r="F3301" s="9">
        <v>28</v>
      </c>
      <c r="G3301" s="9">
        <v>330</v>
      </c>
      <c r="H3301" s="5" t="s">
        <v>20</v>
      </c>
      <c r="I3301" s="5" t="s">
        <v>7630</v>
      </c>
      <c r="J3301" s="12" t="str">
        <f>HYPERLINK("https://www.boe.es/gazeta/dias/1807/03/27/pdfs/GMD-1807-28.pdf#page=2","Abrir facsímil")</f>
        <v>Abrir facsímil</v>
      </c>
      <c r="K3301" s="15" t="s">
        <v>22</v>
      </c>
    </row>
    <row r="3302" spans="1:11" ht="42" customHeight="1">
      <c r="A3302" s="4" t="s">
        <v>7631</v>
      </c>
      <c r="B3302" s="5" t="s">
        <v>7631</v>
      </c>
      <c r="C3302" s="5" t="s">
        <v>49</v>
      </c>
      <c r="D3302" s="5" t="s">
        <v>50</v>
      </c>
      <c r="E3302" s="5" t="s">
        <v>301</v>
      </c>
      <c r="F3302" s="9">
        <v>89</v>
      </c>
      <c r="G3302" s="9">
        <v>1022</v>
      </c>
      <c r="H3302" s="5" t="s">
        <v>20</v>
      </c>
      <c r="I3302" s="5" t="s">
        <v>7632</v>
      </c>
      <c r="J3302" s="12" t="str">
        <f>HYPERLINK("https://www.boe.es/gazeta/dias/1807/10/02/pdfs/GMD-1807-89.pdf#page=2","Abrir facsímil")</f>
        <v>Abrir facsímil</v>
      </c>
      <c r="K3302" s="15" t="s">
        <v>22</v>
      </c>
    </row>
    <row r="3303" spans="1:11" ht="42" customHeight="1">
      <c r="A3303" s="4" t="s">
        <v>7633</v>
      </c>
      <c r="B3303" s="5" t="s">
        <v>7634</v>
      </c>
      <c r="C3303" s="5" t="s">
        <v>24</v>
      </c>
      <c r="D3303" s="5" t="s">
        <v>18</v>
      </c>
      <c r="E3303" s="5" t="s">
        <v>215</v>
      </c>
      <c r="F3303" s="9">
        <v>5</v>
      </c>
      <c r="G3303" s="9">
        <v>51</v>
      </c>
      <c r="H3303" s="5" t="s">
        <v>20</v>
      </c>
      <c r="I3303" s="5" t="s">
        <v>7635</v>
      </c>
      <c r="J3303" s="12" t="str">
        <f>HYPERLINK("https://www.boe.es/gazeta/dias/1807/01/16/pdfs/GMD-1807-5.pdf#page=7","Abrir facsímil")</f>
        <v>Abrir facsímil</v>
      </c>
      <c r="K3303" s="15" t="s">
        <v>22</v>
      </c>
    </row>
    <row r="3304" spans="1:11" ht="42" customHeight="1">
      <c r="A3304" s="4" t="s">
        <v>7636</v>
      </c>
      <c r="B3304" s="5" t="s">
        <v>7636</v>
      </c>
      <c r="C3304" s="5" t="s">
        <v>34</v>
      </c>
      <c r="D3304" s="5" t="s">
        <v>35</v>
      </c>
      <c r="E3304" s="5" t="s">
        <v>275</v>
      </c>
      <c r="F3304" s="9">
        <v>104</v>
      </c>
      <c r="G3304" s="9">
        <v>1208</v>
      </c>
      <c r="H3304" s="5" t="s">
        <v>20</v>
      </c>
      <c r="I3304" s="5" t="s">
        <v>7637</v>
      </c>
      <c r="J3304" s="12" t="str">
        <f>HYPERLINK("https://www.boe.es/gazeta/dias/1807/11/24/pdfs/GMD-1807-104.pdf#page=4","Abrir facsímil")</f>
        <v>Abrir facsímil</v>
      </c>
      <c r="K3304" s="15" t="s">
        <v>22</v>
      </c>
    </row>
    <row r="3305" spans="1:11" ht="42" customHeight="1">
      <c r="A3305" s="4" t="s">
        <v>7638</v>
      </c>
      <c r="B3305" s="5" t="s">
        <v>7639</v>
      </c>
      <c r="C3305" s="5" t="s">
        <v>49</v>
      </c>
      <c r="D3305" s="5" t="s">
        <v>50</v>
      </c>
      <c r="E3305" s="5" t="s">
        <v>76</v>
      </c>
      <c r="F3305" s="9">
        <v>7</v>
      </c>
      <c r="G3305" s="9">
        <v>71</v>
      </c>
      <c r="H3305" s="5" t="s">
        <v>20</v>
      </c>
      <c r="I3305" s="5" t="s">
        <v>7640</v>
      </c>
      <c r="J3305" s="12" t="str">
        <f>HYPERLINK("https://www.boe.es/gazeta/dias/1807/01/20/pdfs/GMD-1807-7.pdf#page=3","Abrir facsímil")</f>
        <v>Abrir facsímil</v>
      </c>
      <c r="K3305" s="15" t="s">
        <v>22</v>
      </c>
    </row>
    <row r="3306" spans="1:11" ht="42" customHeight="1">
      <c r="A3306" s="4" t="s">
        <v>7641</v>
      </c>
      <c r="B3306" s="5" t="s">
        <v>7642</v>
      </c>
      <c r="C3306" s="5" t="s">
        <v>49</v>
      </c>
      <c r="D3306" s="5" t="s">
        <v>50</v>
      </c>
      <c r="E3306" s="5" t="s">
        <v>793</v>
      </c>
      <c r="F3306" s="9">
        <v>87</v>
      </c>
      <c r="G3306" s="9">
        <v>1001</v>
      </c>
      <c r="H3306" s="5" t="s">
        <v>20</v>
      </c>
      <c r="I3306" s="5" t="s">
        <v>7643</v>
      </c>
      <c r="J3306" s="12" t="str">
        <f>HYPERLINK("https://www.boe.es/gazeta/dias/1807/09/29/pdfs/GMD-1807-87.pdf#page=1","Abrir facsímil")</f>
        <v>Abrir facsímil</v>
      </c>
      <c r="K3306" s="15" t="s">
        <v>22</v>
      </c>
    </row>
    <row r="3307" spans="1:11" ht="42" customHeight="1">
      <c r="A3307" s="4" t="s">
        <v>7644</v>
      </c>
      <c r="B3307" s="5" t="s">
        <v>7644</v>
      </c>
      <c r="C3307" s="5" t="s">
        <v>89</v>
      </c>
      <c r="D3307" s="5" t="s">
        <v>90</v>
      </c>
      <c r="E3307" s="5" t="s">
        <v>319</v>
      </c>
      <c r="F3307" s="9">
        <v>54</v>
      </c>
      <c r="G3307" s="9">
        <v>649</v>
      </c>
      <c r="H3307" s="5" t="s">
        <v>20</v>
      </c>
      <c r="I3307" s="5" t="s">
        <v>7645</v>
      </c>
      <c r="J3307" s="12" t="str">
        <f>HYPERLINK("https://www.boe.es/gazeta/dias/1807/06/26/pdfs/GMD-1807-54.pdf#page=11","Abrir facsímil")</f>
        <v>Abrir facsímil</v>
      </c>
      <c r="K3307" s="15" t="s">
        <v>22</v>
      </c>
    </row>
    <row r="3308" spans="1:11" ht="42" customHeight="1">
      <c r="A3308" s="4" t="s">
        <v>7646</v>
      </c>
      <c r="B3308" s="5" t="s">
        <v>7646</v>
      </c>
      <c r="C3308" s="5" t="s">
        <v>24</v>
      </c>
      <c r="D3308" s="5" t="s">
        <v>18</v>
      </c>
      <c r="E3308" s="5" t="s">
        <v>241</v>
      </c>
      <c r="F3308" s="9">
        <v>76</v>
      </c>
      <c r="G3308" s="9">
        <v>877</v>
      </c>
      <c r="H3308" s="5" t="s">
        <v>20</v>
      </c>
      <c r="I3308" s="5" t="s">
        <v>7647</v>
      </c>
      <c r="J3308" s="12" t="str">
        <f>HYPERLINK("https://www.boe.es/gazeta/dias/1807/08/25/pdfs/GMD-1807-76.pdf#page=5","Abrir facsímil")</f>
        <v>Abrir facsímil</v>
      </c>
      <c r="K3308" s="15" t="s">
        <v>22</v>
      </c>
    </row>
    <row r="3309" spans="1:11" ht="42" customHeight="1">
      <c r="A3309" s="4" t="s">
        <v>7648</v>
      </c>
      <c r="B3309" s="5" t="s">
        <v>7649</v>
      </c>
      <c r="C3309" s="5" t="s">
        <v>34</v>
      </c>
      <c r="D3309" s="5" t="s">
        <v>35</v>
      </c>
      <c r="E3309" s="5" t="s">
        <v>36</v>
      </c>
      <c r="F3309" s="9">
        <v>36</v>
      </c>
      <c r="G3309" s="9">
        <v>430</v>
      </c>
      <c r="H3309" s="5" t="s">
        <v>20</v>
      </c>
      <c r="I3309" s="5" t="s">
        <v>7650</v>
      </c>
      <c r="J3309" s="12" t="str">
        <f>HYPERLINK("https://www.boe.es/gazeta/dias/1807/04/24/pdfs/GMD-1807-36.pdf#page=10","Abrir facsímil")</f>
        <v>Abrir facsímil</v>
      </c>
      <c r="K3309" s="15" t="s">
        <v>22</v>
      </c>
    </row>
    <row r="3310" spans="1:11" ht="42" customHeight="1">
      <c r="A3310" s="4" t="s">
        <v>7651</v>
      </c>
      <c r="B3310" s="5" t="s">
        <v>7652</v>
      </c>
      <c r="C3310" s="5" t="s">
        <v>28</v>
      </c>
      <c r="D3310" s="5" t="s">
        <v>29</v>
      </c>
      <c r="E3310" s="5" t="s">
        <v>101</v>
      </c>
      <c r="F3310" s="9">
        <v>23</v>
      </c>
      <c r="G3310" s="9">
        <v>271</v>
      </c>
      <c r="H3310" s="5" t="s">
        <v>20</v>
      </c>
      <c r="I3310" s="5" t="s">
        <v>7653</v>
      </c>
      <c r="J3310" s="12" t="str">
        <f>HYPERLINK("https://www.boe.es/gazeta/dias/1807/03/10/pdfs/GMD-1807-23.pdf#page=11","Abrir facsímil")</f>
        <v>Abrir facsímil</v>
      </c>
      <c r="K3310" s="15" t="s">
        <v>22</v>
      </c>
    </row>
    <row r="3311" spans="1:11" ht="42" customHeight="1">
      <c r="A3311" s="4" t="s">
        <v>7654</v>
      </c>
      <c r="B3311" s="5" t="s">
        <v>7655</v>
      </c>
      <c r="C3311" s="5" t="s">
        <v>34</v>
      </c>
      <c r="D3311" s="5" t="s">
        <v>35</v>
      </c>
      <c r="E3311" s="5" t="s">
        <v>83</v>
      </c>
      <c r="F3311" s="9">
        <v>50</v>
      </c>
      <c r="G3311" s="9">
        <v>595</v>
      </c>
      <c r="H3311" s="5" t="s">
        <v>20</v>
      </c>
      <c r="I3311" s="5" t="s">
        <v>7656</v>
      </c>
      <c r="J3311" s="12" t="str">
        <f>HYPERLINK("https://www.boe.es/gazeta/dias/1807/06/12/pdfs/GMD-1807-50.pdf#page=9","Abrir facsímil")</f>
        <v>Abrir facsímil</v>
      </c>
      <c r="K3311" s="15" t="s">
        <v>22</v>
      </c>
    </row>
    <row r="3312" spans="1:11" ht="42" customHeight="1">
      <c r="A3312" s="4" t="s">
        <v>7657</v>
      </c>
      <c r="B3312" s="5" t="s">
        <v>7657</v>
      </c>
      <c r="C3312" s="5" t="s">
        <v>89</v>
      </c>
      <c r="D3312" s="5" t="s">
        <v>90</v>
      </c>
      <c r="E3312" s="5" t="s">
        <v>106</v>
      </c>
      <c r="F3312" s="9">
        <v>39</v>
      </c>
      <c r="G3312" s="9">
        <v>463</v>
      </c>
      <c r="H3312" s="5" t="s">
        <v>20</v>
      </c>
      <c r="I3312" s="5" t="s">
        <v>7658</v>
      </c>
      <c r="J3312" s="12" t="str">
        <f>HYPERLINK("https://www.boe.es/gazeta/dias/1807/05/05/pdfs/GMD-1807-39.pdf#page=5","Abrir facsímil")</f>
        <v>Abrir facsímil</v>
      </c>
      <c r="K3312" s="15" t="s">
        <v>22</v>
      </c>
    </row>
    <row r="3313" spans="1:11" ht="42" customHeight="1">
      <c r="A3313" s="4" t="s">
        <v>7659</v>
      </c>
      <c r="B3313" s="5" t="s">
        <v>7660</v>
      </c>
      <c r="C3313" s="5" t="s">
        <v>49</v>
      </c>
      <c r="D3313" s="5" t="s">
        <v>50</v>
      </c>
      <c r="E3313" s="5" t="s">
        <v>176</v>
      </c>
      <c r="F3313" s="9">
        <v>17</v>
      </c>
      <c r="G3313" s="9">
        <v>192</v>
      </c>
      <c r="H3313" s="5" t="s">
        <v>20</v>
      </c>
      <c r="I3313" s="5" t="s">
        <v>7661</v>
      </c>
      <c r="J3313" s="12" t="str">
        <f>HYPERLINK("https://www.boe.es/gazeta/dias/1807/02/20/pdfs/GMD-1807-17.pdf#page=4","Abrir facsímil")</f>
        <v>Abrir facsímil</v>
      </c>
      <c r="K3313" s="15" t="s">
        <v>22</v>
      </c>
    </row>
    <row r="3314" spans="1:11" ht="42" customHeight="1">
      <c r="A3314" s="4" t="s">
        <v>7662</v>
      </c>
      <c r="B3314" s="5" t="s">
        <v>7663</v>
      </c>
      <c r="C3314" s="5" t="s">
        <v>17</v>
      </c>
      <c r="D3314" s="5" t="s">
        <v>18</v>
      </c>
      <c r="E3314" s="5" t="s">
        <v>581</v>
      </c>
      <c r="F3314" s="9">
        <v>71</v>
      </c>
      <c r="G3314" s="9">
        <v>815</v>
      </c>
      <c r="H3314" s="5" t="s">
        <v>20</v>
      </c>
      <c r="I3314" s="5" t="s">
        <v>7664</v>
      </c>
      <c r="J3314" s="12" t="str">
        <f>HYPERLINK("https://www.boe.es/gazeta/dias/1807/08/07/pdfs/GMD-1807-71.pdf#page=7","Abrir facsímil")</f>
        <v>Abrir facsímil</v>
      </c>
      <c r="K3314" s="15" t="s">
        <v>22</v>
      </c>
    </row>
    <row r="3315" spans="1:11" ht="42" customHeight="1">
      <c r="A3315" s="4" t="s">
        <v>7665</v>
      </c>
      <c r="B3315" s="5" t="s">
        <v>7666</v>
      </c>
      <c r="C3315" s="5" t="s">
        <v>34</v>
      </c>
      <c r="D3315" s="5" t="s">
        <v>35</v>
      </c>
      <c r="E3315" s="5" t="s">
        <v>208</v>
      </c>
      <c r="F3315" s="9">
        <v>42</v>
      </c>
      <c r="G3315" s="9">
        <v>501</v>
      </c>
      <c r="H3315" s="5" t="s">
        <v>20</v>
      </c>
      <c r="I3315" s="5" t="s">
        <v>7667</v>
      </c>
      <c r="J3315" s="12" t="str">
        <f>HYPERLINK("https://www.boe.es/gazeta/dias/1807/05/15/pdfs/GMD-1807-42.pdf#page=7","Abrir facsímil")</f>
        <v>Abrir facsímil</v>
      </c>
      <c r="K3315" s="15" t="s">
        <v>22</v>
      </c>
    </row>
    <row r="3316" spans="1:11" ht="42" customHeight="1">
      <c r="A3316" s="4" t="s">
        <v>7668</v>
      </c>
      <c r="B3316" s="5" t="s">
        <v>7668</v>
      </c>
      <c r="C3316" s="5" t="s">
        <v>28</v>
      </c>
      <c r="D3316" s="5" t="s">
        <v>29</v>
      </c>
      <c r="E3316" s="5" t="s">
        <v>390</v>
      </c>
      <c r="F3316" s="9">
        <v>24</v>
      </c>
      <c r="G3316" s="9">
        <v>284</v>
      </c>
      <c r="H3316" s="5" t="s">
        <v>20</v>
      </c>
      <c r="I3316" s="5" t="s">
        <v>7669</v>
      </c>
      <c r="J3316" s="12" t="str">
        <f>HYPERLINK("https://www.boe.es/gazeta/dias/1807/03/13/pdfs/GMD-1807-24.pdf#page=8","Abrir facsímil")</f>
        <v>Abrir facsímil</v>
      </c>
      <c r="K3316" s="15" t="s">
        <v>22</v>
      </c>
    </row>
    <row r="3317" spans="1:11" ht="42" customHeight="1">
      <c r="A3317" s="4" t="s">
        <v>7670</v>
      </c>
      <c r="B3317" s="5" t="s">
        <v>7671</v>
      </c>
      <c r="C3317" s="5" t="s">
        <v>17</v>
      </c>
      <c r="D3317" s="5" t="s">
        <v>18</v>
      </c>
      <c r="E3317" s="5" t="s">
        <v>305</v>
      </c>
      <c r="F3317" s="9">
        <v>53</v>
      </c>
      <c r="G3317" s="9">
        <v>634</v>
      </c>
      <c r="H3317" s="5" t="s">
        <v>20</v>
      </c>
      <c r="I3317" s="5" t="s">
        <v>7672</v>
      </c>
      <c r="J3317" s="12" t="str">
        <f>HYPERLINK("https://www.boe.es/gazeta/dias/1807/06/23/pdfs/GMD-1807-53.pdf#page=8","Abrir facsímil")</f>
        <v>Abrir facsímil</v>
      </c>
      <c r="K3317" s="15" t="s">
        <v>22</v>
      </c>
    </row>
    <row r="3318" spans="1:11" ht="42" customHeight="1">
      <c r="A3318" s="4" t="s">
        <v>7673</v>
      </c>
      <c r="B3318" s="5" t="s">
        <v>7674</v>
      </c>
      <c r="C3318" s="5" t="s">
        <v>34</v>
      </c>
      <c r="D3318" s="5" t="s">
        <v>35</v>
      </c>
      <c r="E3318" s="5" t="s">
        <v>98</v>
      </c>
      <c r="F3318" s="9">
        <v>34</v>
      </c>
      <c r="G3318" s="9">
        <v>406</v>
      </c>
      <c r="H3318" s="5" t="s">
        <v>20</v>
      </c>
      <c r="I3318" s="5" t="s">
        <v>7675</v>
      </c>
      <c r="J3318" s="12" t="str">
        <f>HYPERLINK("https://www.boe.es/gazeta/dias/1807/04/17/pdfs/GMD-1807-34.pdf#page=10","Abrir facsímil")</f>
        <v>Abrir facsímil</v>
      </c>
      <c r="K3318" s="15" t="s">
        <v>22</v>
      </c>
    </row>
    <row r="3319" spans="1:11" ht="42" customHeight="1">
      <c r="A3319" s="4" t="s">
        <v>7676</v>
      </c>
      <c r="B3319" s="5" t="s">
        <v>7677</v>
      </c>
      <c r="C3319" s="5" t="s">
        <v>34</v>
      </c>
      <c r="D3319" s="5" t="s">
        <v>35</v>
      </c>
      <c r="E3319" s="5" t="s">
        <v>19</v>
      </c>
      <c r="F3319" s="9">
        <v>41</v>
      </c>
      <c r="G3319" s="9">
        <v>489</v>
      </c>
      <c r="H3319" s="5" t="s">
        <v>20</v>
      </c>
      <c r="I3319" s="5" t="s">
        <v>7678</v>
      </c>
      <c r="J3319" s="12" t="str">
        <f>HYPERLINK("https://www.boe.es/gazeta/dias/1807/05/12/pdfs/GMD-1807-41.pdf#page=7","Abrir facsímil")</f>
        <v>Abrir facsímil</v>
      </c>
      <c r="K3319" s="15" t="s">
        <v>22</v>
      </c>
    </row>
    <row r="3320" spans="1:11" ht="42" customHeight="1">
      <c r="A3320" s="4" t="s">
        <v>7679</v>
      </c>
      <c r="B3320" s="5" t="s">
        <v>7679</v>
      </c>
      <c r="C3320" s="5" t="s">
        <v>28</v>
      </c>
      <c r="D3320" s="5" t="s">
        <v>29</v>
      </c>
      <c r="E3320" s="5" t="s">
        <v>426</v>
      </c>
      <c r="F3320" s="9">
        <v>93</v>
      </c>
      <c r="G3320" s="9">
        <v>1082</v>
      </c>
      <c r="H3320" s="5" t="s">
        <v>20</v>
      </c>
      <c r="I3320" s="5" t="s">
        <v>7680</v>
      </c>
      <c r="J3320" s="12" t="str">
        <f>HYPERLINK("https://www.boe.es/gazeta/dias/1807/10/16/pdfs/GMD-1807-93.pdf#page=10","Abrir facsímil")</f>
        <v>Abrir facsímil</v>
      </c>
      <c r="K3320" s="15" t="s">
        <v>22</v>
      </c>
    </row>
    <row r="3321" spans="1:11" ht="42" customHeight="1">
      <c r="A3321" s="4" t="s">
        <v>7681</v>
      </c>
      <c r="B3321" s="5" t="s">
        <v>7682</v>
      </c>
      <c r="C3321" s="5" t="s">
        <v>17</v>
      </c>
      <c r="D3321" s="5" t="s">
        <v>18</v>
      </c>
      <c r="E3321" s="5" t="s">
        <v>156</v>
      </c>
      <c r="F3321" s="9">
        <v>74</v>
      </c>
      <c r="G3321" s="9">
        <v>856</v>
      </c>
      <c r="H3321" s="5" t="s">
        <v>20</v>
      </c>
      <c r="I3321" s="5" t="s">
        <v>7683</v>
      </c>
      <c r="J3321" s="12" t="str">
        <f>HYPERLINK("https://www.boe.es/gazeta/dias/1807/08/18/pdfs/GMD-1807-74.pdf#page=8","Abrir facsímil")</f>
        <v>Abrir facsímil</v>
      </c>
      <c r="K3321" s="15" t="s">
        <v>22</v>
      </c>
    </row>
    <row r="3322" spans="1:11" ht="42" customHeight="1">
      <c r="A3322" s="4" t="s">
        <v>7684</v>
      </c>
      <c r="B3322" s="5" t="s">
        <v>7685</v>
      </c>
      <c r="C3322" s="5" t="s">
        <v>34</v>
      </c>
      <c r="D3322" s="5" t="s">
        <v>35</v>
      </c>
      <c r="E3322" s="5" t="s">
        <v>183</v>
      </c>
      <c r="F3322" s="9">
        <v>1</v>
      </c>
      <c r="G3322" s="9">
        <v>10</v>
      </c>
      <c r="H3322" s="5" t="s">
        <v>20</v>
      </c>
      <c r="I3322" s="5" t="s">
        <v>7686</v>
      </c>
      <c r="J3322" s="12" t="str">
        <f>HYPERLINK("https://www.boe.es/gazeta/dias/1807/01/02/pdfs/GMD-1807-1.pdf#page=10","Abrir facsímil")</f>
        <v>Abrir facsímil</v>
      </c>
      <c r="K3322" s="15" t="s">
        <v>22</v>
      </c>
    </row>
    <row r="3323" spans="1:11" ht="42" customHeight="1">
      <c r="A3323" s="4" t="s">
        <v>7687</v>
      </c>
      <c r="B3323" s="5" t="s">
        <v>7688</v>
      </c>
      <c r="C3323" s="5" t="s">
        <v>34</v>
      </c>
      <c r="D3323" s="5" t="s">
        <v>35</v>
      </c>
      <c r="E3323" s="5" t="s">
        <v>152</v>
      </c>
      <c r="F3323" s="9">
        <v>61</v>
      </c>
      <c r="G3323" s="9">
        <v>720</v>
      </c>
      <c r="H3323" s="5" t="s">
        <v>20</v>
      </c>
      <c r="I3323" s="5" t="s">
        <v>7689</v>
      </c>
      <c r="J3323" s="12" t="str">
        <f>HYPERLINK("https://www.boe.es/gazeta/dias/1807/07/14/pdfs/GMD-1807-61.pdf#page=6","Abrir facsímil")</f>
        <v>Abrir facsímil</v>
      </c>
      <c r="K3323" s="15" t="s">
        <v>22</v>
      </c>
    </row>
    <row r="3324" spans="1:11" ht="42" customHeight="1">
      <c r="A3324" s="4" t="s">
        <v>7690</v>
      </c>
      <c r="B3324" s="5" t="s">
        <v>7691</v>
      </c>
      <c r="C3324" s="5" t="s">
        <v>24</v>
      </c>
      <c r="D3324" s="5" t="s">
        <v>18</v>
      </c>
      <c r="E3324" s="5" t="s">
        <v>111</v>
      </c>
      <c r="F3324" s="9">
        <v>90</v>
      </c>
      <c r="G3324" s="9">
        <v>1047</v>
      </c>
      <c r="H3324" s="5" t="s">
        <v>20</v>
      </c>
      <c r="I3324" s="5" t="s">
        <v>7692</v>
      </c>
      <c r="J3324" s="12" t="str">
        <f>HYPERLINK("https://www.boe.es/gazeta/dias/1807/10/06/pdfs/GMD-1807-90.pdf#page=15","Abrir facsímil")</f>
        <v>Abrir facsímil</v>
      </c>
      <c r="K3324" s="15" t="s">
        <v>22</v>
      </c>
    </row>
    <row r="3325" spans="1:11" ht="42" customHeight="1">
      <c r="A3325" s="4" t="s">
        <v>7693</v>
      </c>
      <c r="B3325" s="5" t="s">
        <v>7694</v>
      </c>
      <c r="C3325" s="5" t="s">
        <v>24</v>
      </c>
      <c r="D3325" s="5" t="s">
        <v>18</v>
      </c>
      <c r="E3325" s="5" t="s">
        <v>1354</v>
      </c>
      <c r="F3325" s="9">
        <v>83</v>
      </c>
      <c r="G3325" s="9">
        <v>970</v>
      </c>
      <c r="H3325" s="5" t="s">
        <v>20</v>
      </c>
      <c r="I3325" s="5" t="s">
        <v>7695</v>
      </c>
      <c r="J3325" s="12" t="str">
        <f>HYPERLINK("https://www.boe.es/gazeta/dias/1807/09/18/pdfs/GMD-1807-83.pdf#page=10","Abrir facsímil")</f>
        <v>Abrir facsímil</v>
      </c>
      <c r="K3325" s="15" t="s">
        <v>22</v>
      </c>
    </row>
    <row r="3326" spans="1:11" ht="42" customHeight="1">
      <c r="A3326" s="4" t="s">
        <v>7696</v>
      </c>
      <c r="B3326" s="5" t="s">
        <v>7696</v>
      </c>
      <c r="C3326" s="5" t="s">
        <v>34</v>
      </c>
      <c r="D3326" s="5" t="s">
        <v>35</v>
      </c>
      <c r="E3326" s="5" t="s">
        <v>686</v>
      </c>
      <c r="F3326" s="9">
        <v>106</v>
      </c>
      <c r="G3326" s="9">
        <v>1238</v>
      </c>
      <c r="H3326" s="5" t="s">
        <v>20</v>
      </c>
      <c r="I3326" s="5" t="s">
        <v>7697</v>
      </c>
      <c r="J3326" s="12" t="str">
        <f>HYPERLINK("https://www.boe.es/gazeta/dias/1807/11/27/pdfs/GMD-1807-106.pdf#page=10","Abrir facsímil")</f>
        <v>Abrir facsímil</v>
      </c>
      <c r="K3326" s="15" t="s">
        <v>22</v>
      </c>
    </row>
    <row r="3327" spans="1:11" ht="42" customHeight="1">
      <c r="A3327" s="4" t="s">
        <v>7698</v>
      </c>
      <c r="B3327" s="5" t="s">
        <v>7699</v>
      </c>
      <c r="C3327" s="5" t="s">
        <v>49</v>
      </c>
      <c r="D3327" s="5" t="s">
        <v>50</v>
      </c>
      <c r="E3327" s="5" t="s">
        <v>219</v>
      </c>
      <c r="F3327" s="9">
        <v>56</v>
      </c>
      <c r="G3327" s="9">
        <v>668</v>
      </c>
      <c r="H3327" s="5" t="s">
        <v>20</v>
      </c>
      <c r="I3327" s="5" t="s">
        <v>7700</v>
      </c>
      <c r="J3327" s="12" t="str">
        <f>HYPERLINK("https://www.boe.es/gazeta/dias/1807/07/03/pdfs/GMD-1807-56.pdf#page=6","Abrir facsímil")</f>
        <v>Abrir facsímil</v>
      </c>
      <c r="K3327" s="15" t="s">
        <v>22</v>
      </c>
    </row>
    <row r="3328" spans="1:11" ht="42" customHeight="1">
      <c r="A3328" s="4" t="s">
        <v>7701</v>
      </c>
      <c r="B3328" s="5" t="s">
        <v>7702</v>
      </c>
      <c r="C3328" s="5" t="s">
        <v>28</v>
      </c>
      <c r="D3328" s="5" t="s">
        <v>29</v>
      </c>
      <c r="E3328" s="5" t="s">
        <v>422</v>
      </c>
      <c r="F3328" s="9">
        <v>33</v>
      </c>
      <c r="G3328" s="9">
        <v>391</v>
      </c>
      <c r="H3328" s="5" t="s">
        <v>20</v>
      </c>
      <c r="I3328" s="5" t="s">
        <v>7703</v>
      </c>
      <c r="J3328" s="12" t="str">
        <f>HYPERLINK("https://www.boe.es/gazeta/dias/1807/04/14/pdfs/GMD-1807-33.pdf#page=7","Abrir facsímil")</f>
        <v>Abrir facsímil</v>
      </c>
      <c r="K3328" s="15" t="s">
        <v>22</v>
      </c>
    </row>
    <row r="3329" spans="1:11" ht="42" customHeight="1">
      <c r="A3329" s="4" t="s">
        <v>7704</v>
      </c>
      <c r="B3329" s="5" t="s">
        <v>7705</v>
      </c>
      <c r="C3329" s="5" t="s">
        <v>28</v>
      </c>
      <c r="D3329" s="5" t="s">
        <v>29</v>
      </c>
      <c r="E3329" s="5" t="s">
        <v>346</v>
      </c>
      <c r="F3329" s="9">
        <v>21</v>
      </c>
      <c r="G3329" s="9">
        <v>245</v>
      </c>
      <c r="H3329" s="5" t="s">
        <v>20</v>
      </c>
      <c r="I3329" s="5" t="s">
        <v>7706</v>
      </c>
      <c r="J3329" s="12" t="str">
        <f>HYPERLINK("https://www.boe.es/gazeta/dias/1807/03/03/pdfs/GMD-1807-21.pdf#page=9","Abrir facsímil")</f>
        <v>Abrir facsímil</v>
      </c>
      <c r="K3329" s="15" t="s">
        <v>22</v>
      </c>
    </row>
    <row r="3330" spans="1:11" ht="42" customHeight="1">
      <c r="A3330" s="4" t="s">
        <v>7707</v>
      </c>
      <c r="B3330" s="5" t="s">
        <v>7707</v>
      </c>
      <c r="C3330" s="5" t="s">
        <v>28</v>
      </c>
      <c r="D3330" s="5" t="s">
        <v>29</v>
      </c>
      <c r="E3330" s="5" t="s">
        <v>76</v>
      </c>
      <c r="F3330" s="9">
        <v>7</v>
      </c>
      <c r="G3330" s="9">
        <v>78</v>
      </c>
      <c r="H3330" s="5" t="s">
        <v>20</v>
      </c>
      <c r="I3330" s="5" t="s">
        <v>7708</v>
      </c>
      <c r="J3330" s="12" t="str">
        <f>HYPERLINK("https://www.boe.es/gazeta/dias/1807/01/20/pdfs/GMD-1807-7.pdf#page=10","Abrir facsímil")</f>
        <v>Abrir facsímil</v>
      </c>
      <c r="K3330" s="15" t="s">
        <v>22</v>
      </c>
    </row>
    <row r="3331" spans="1:11" ht="42" customHeight="1">
      <c r="A3331" s="4" t="s">
        <v>7709</v>
      </c>
      <c r="B3331" s="5" t="s">
        <v>7709</v>
      </c>
      <c r="C3331" s="5" t="s">
        <v>34</v>
      </c>
      <c r="D3331" s="5" t="s">
        <v>35</v>
      </c>
      <c r="E3331" s="5" t="s">
        <v>581</v>
      </c>
      <c r="F3331" s="9">
        <v>71</v>
      </c>
      <c r="G3331" s="9">
        <v>817</v>
      </c>
      <c r="H3331" s="5" t="s">
        <v>20</v>
      </c>
      <c r="I3331" s="5" t="s">
        <v>7710</v>
      </c>
      <c r="J3331" s="12" t="str">
        <f>HYPERLINK("https://www.boe.es/gazeta/dias/1807/08/07/pdfs/GMD-1807-71.pdf#page=9","Abrir facsímil")</f>
        <v>Abrir facsímil</v>
      </c>
      <c r="K3331" s="15" t="s">
        <v>22</v>
      </c>
    </row>
    <row r="3332" spans="1:11" ht="42" customHeight="1">
      <c r="A3332" s="4" t="s">
        <v>7711</v>
      </c>
      <c r="B3332" s="5" t="s">
        <v>7711</v>
      </c>
      <c r="C3332" s="5" t="s">
        <v>34</v>
      </c>
      <c r="D3332" s="5" t="s">
        <v>35</v>
      </c>
      <c r="E3332" s="5" t="s">
        <v>94</v>
      </c>
      <c r="F3332" s="9">
        <v>22</v>
      </c>
      <c r="G3332" s="9">
        <v>255</v>
      </c>
      <c r="H3332" s="5" t="s">
        <v>20</v>
      </c>
      <c r="I3332" s="5" t="s">
        <v>7712</v>
      </c>
      <c r="J3332" s="12" t="str">
        <f>HYPERLINK("https://www.boe.es/gazeta/dias/1807/03/06/pdfs/GMD-1807-22.pdf#page=7","Abrir facsímil")</f>
        <v>Abrir facsímil</v>
      </c>
      <c r="K3332" s="15" t="s">
        <v>22</v>
      </c>
    </row>
    <row r="3333" spans="1:11" ht="42" customHeight="1">
      <c r="A3333" s="4" t="s">
        <v>7713</v>
      </c>
      <c r="B3333" s="5" t="s">
        <v>7713</v>
      </c>
      <c r="C3333" s="5" t="s">
        <v>28</v>
      </c>
      <c r="D3333" s="5" t="s">
        <v>29</v>
      </c>
      <c r="E3333" s="5" t="s">
        <v>40</v>
      </c>
      <c r="F3333" s="9">
        <v>26</v>
      </c>
      <c r="G3333" s="9">
        <v>310</v>
      </c>
      <c r="H3333" s="5" t="s">
        <v>20</v>
      </c>
      <c r="I3333" s="5" t="s">
        <v>7714</v>
      </c>
      <c r="J3333" s="12" t="str">
        <f>HYPERLINK("https://www.boe.es/gazeta/dias/1807/03/20/pdfs/GMD-1807-26.pdf#page=6","Abrir facsímil")</f>
        <v>Abrir facsímil</v>
      </c>
      <c r="K3333" s="15" t="s">
        <v>22</v>
      </c>
    </row>
    <row r="3334" spans="1:11" ht="42" customHeight="1">
      <c r="A3334" s="4" t="s">
        <v>7715</v>
      </c>
      <c r="B3334" s="5" t="s">
        <v>7716</v>
      </c>
      <c r="C3334" s="5" t="s">
        <v>34</v>
      </c>
      <c r="D3334" s="5" t="s">
        <v>35</v>
      </c>
      <c r="E3334" s="5" t="s">
        <v>321</v>
      </c>
      <c r="F3334" s="9">
        <v>75</v>
      </c>
      <c r="G3334" s="9">
        <v>871</v>
      </c>
      <c r="H3334" s="5" t="s">
        <v>20</v>
      </c>
      <c r="I3334" s="5" t="s">
        <v>7717</v>
      </c>
      <c r="J3334" s="12" t="str">
        <f>HYPERLINK("https://www.boe.es/gazeta/dias/1807/08/21/pdfs/GMD-1807-75.pdf#page=11","Abrir facsímil")</f>
        <v>Abrir facsímil</v>
      </c>
      <c r="K3334" s="15" t="s">
        <v>22</v>
      </c>
    </row>
    <row r="3335" spans="1:11" ht="42" customHeight="1">
      <c r="A3335" s="4" t="s">
        <v>7718</v>
      </c>
      <c r="B3335" s="5" t="s">
        <v>7718</v>
      </c>
      <c r="C3335" s="5" t="s">
        <v>17</v>
      </c>
      <c r="D3335" s="5" t="s">
        <v>18</v>
      </c>
      <c r="E3335" s="5" t="s">
        <v>221</v>
      </c>
      <c r="F3335" s="9">
        <v>73</v>
      </c>
      <c r="G3335" s="9">
        <v>848</v>
      </c>
      <c r="H3335" s="5" t="s">
        <v>20</v>
      </c>
      <c r="I3335" s="5" t="s">
        <v>7719</v>
      </c>
      <c r="J3335" s="12" t="str">
        <f>HYPERLINK("https://www.boe.es/gazeta/dias/1807/08/14/pdfs/GMD-1807-73.pdf#page=12","Abrir facsímil")</f>
        <v>Abrir facsímil</v>
      </c>
      <c r="K3335" s="15" t="s">
        <v>22</v>
      </c>
    </row>
    <row r="3336" spans="1:11" ht="42" customHeight="1">
      <c r="A3336" s="4" t="s">
        <v>7720</v>
      </c>
      <c r="B3336" s="5" t="s">
        <v>7720</v>
      </c>
      <c r="C3336" s="5" t="s">
        <v>28</v>
      </c>
      <c r="D3336" s="5" t="s">
        <v>29</v>
      </c>
      <c r="E3336" s="5" t="s">
        <v>94</v>
      </c>
      <c r="F3336" s="9">
        <v>22</v>
      </c>
      <c r="G3336" s="9">
        <v>254</v>
      </c>
      <c r="H3336" s="5" t="s">
        <v>20</v>
      </c>
      <c r="I3336" s="5" t="s">
        <v>7721</v>
      </c>
      <c r="J3336" s="12" t="str">
        <f>HYPERLINK("https://www.boe.es/gazeta/dias/1807/03/06/pdfs/GMD-1807-22.pdf#page=6","Abrir facsímil")</f>
        <v>Abrir facsímil</v>
      </c>
      <c r="K3336" s="15" t="s">
        <v>22</v>
      </c>
    </row>
    <row r="3337" spans="1:11" ht="42" customHeight="1">
      <c r="A3337" s="4" t="s">
        <v>7722</v>
      </c>
      <c r="B3337" s="5" t="s">
        <v>7722</v>
      </c>
      <c r="C3337" s="5" t="s">
        <v>34</v>
      </c>
      <c r="D3337" s="5" t="s">
        <v>35</v>
      </c>
      <c r="E3337" s="5" t="s">
        <v>259</v>
      </c>
      <c r="F3337" s="9">
        <v>3</v>
      </c>
      <c r="G3337" s="9">
        <v>27</v>
      </c>
      <c r="H3337" s="5" t="s">
        <v>20</v>
      </c>
      <c r="I3337" s="5" t="s">
        <v>7723</v>
      </c>
      <c r="J3337" s="12" t="str">
        <f>HYPERLINK("https://www.boe.es/gazeta/dias/1807/01/09/pdfs/GMD-1807-3.pdf#page=7","Abrir facsímil")</f>
        <v>Abrir facsímil</v>
      </c>
      <c r="K3337" s="15" t="s">
        <v>22</v>
      </c>
    </row>
    <row r="3338" spans="1:11" ht="42" customHeight="1">
      <c r="A3338" s="4" t="s">
        <v>7724</v>
      </c>
      <c r="B3338" s="5" t="s">
        <v>7725</v>
      </c>
      <c r="C3338" s="5" t="s">
        <v>34</v>
      </c>
      <c r="D3338" s="5" t="s">
        <v>35</v>
      </c>
      <c r="E3338" s="5" t="s">
        <v>478</v>
      </c>
      <c r="F3338" s="9">
        <v>30</v>
      </c>
      <c r="G3338" s="9">
        <v>357</v>
      </c>
      <c r="H3338" s="5" t="s">
        <v>20</v>
      </c>
      <c r="I3338" s="5" t="s">
        <v>7726</v>
      </c>
      <c r="J3338" s="12" t="str">
        <f>HYPERLINK("https://www.boe.es/gazeta/dias/1807/04/03/pdfs/GMD-1807-30.pdf#page=9","Abrir facsímil")</f>
        <v>Abrir facsímil</v>
      </c>
      <c r="K3338" s="15" t="s">
        <v>22</v>
      </c>
    </row>
    <row r="3339" spans="1:11" ht="42" customHeight="1">
      <c r="A3339" s="4" t="s">
        <v>7727</v>
      </c>
      <c r="B3339" s="5" t="s">
        <v>7728</v>
      </c>
      <c r="C3339" s="5" t="s">
        <v>24</v>
      </c>
      <c r="D3339" s="5" t="s">
        <v>18</v>
      </c>
      <c r="E3339" s="5" t="s">
        <v>305</v>
      </c>
      <c r="F3339" s="9">
        <v>53</v>
      </c>
      <c r="G3339" s="9">
        <v>635</v>
      </c>
      <c r="H3339" s="5" t="s">
        <v>20</v>
      </c>
      <c r="I3339" s="5" t="s">
        <v>7729</v>
      </c>
      <c r="J3339" s="12" t="str">
        <f>HYPERLINK("https://www.boe.es/gazeta/dias/1807/06/23/pdfs/GMD-1807-53.pdf#page=9","Abrir facsímil")</f>
        <v>Abrir facsímil</v>
      </c>
      <c r="K3339" s="15" t="s">
        <v>22</v>
      </c>
    </row>
    <row r="3340" spans="1:11" ht="42" customHeight="1">
      <c r="A3340" s="4" t="s">
        <v>7730</v>
      </c>
      <c r="B3340" s="5" t="s">
        <v>7731</v>
      </c>
      <c r="C3340" s="5" t="s">
        <v>34</v>
      </c>
      <c r="D3340" s="5" t="s">
        <v>35</v>
      </c>
      <c r="E3340" s="5" t="s">
        <v>36</v>
      </c>
      <c r="F3340" s="9">
        <v>36</v>
      </c>
      <c r="G3340" s="9">
        <v>430</v>
      </c>
      <c r="H3340" s="5" t="s">
        <v>20</v>
      </c>
      <c r="I3340" s="5" t="s">
        <v>7732</v>
      </c>
      <c r="J3340" s="12" t="str">
        <f>HYPERLINK("https://www.boe.es/gazeta/dias/1807/04/24/pdfs/GMD-1807-36.pdf#page=10","Abrir facsímil")</f>
        <v>Abrir facsímil</v>
      </c>
      <c r="K3340" s="15" t="s">
        <v>22</v>
      </c>
    </row>
    <row r="3341" spans="1:11" ht="42" customHeight="1">
      <c r="A3341" s="4" t="s">
        <v>7733</v>
      </c>
      <c r="B3341" s="5" t="s">
        <v>7734</v>
      </c>
      <c r="C3341" s="5" t="s">
        <v>34</v>
      </c>
      <c r="D3341" s="5" t="s">
        <v>35</v>
      </c>
      <c r="E3341" s="5" t="s">
        <v>2914</v>
      </c>
      <c r="F3341" s="9">
        <v>29</v>
      </c>
      <c r="G3341" s="9">
        <v>345</v>
      </c>
      <c r="H3341" s="5" t="s">
        <v>20</v>
      </c>
      <c r="I3341" s="5" t="s">
        <v>7735</v>
      </c>
      <c r="J3341" s="12" t="str">
        <f>HYPERLINK("https://www.boe.es/gazeta/dias/1807/03/31/pdfs/GMD-1807-29.pdf#page=9","Abrir facsímil")</f>
        <v>Abrir facsímil</v>
      </c>
      <c r="K3341" s="15" t="s">
        <v>22</v>
      </c>
    </row>
    <row r="3342" spans="1:11" ht="42" customHeight="1">
      <c r="A3342" s="4" t="s">
        <v>7736</v>
      </c>
      <c r="B3342" s="5" t="s">
        <v>7736</v>
      </c>
      <c r="C3342" s="5" t="s">
        <v>34</v>
      </c>
      <c r="D3342" s="5" t="s">
        <v>35</v>
      </c>
      <c r="E3342" s="5" t="s">
        <v>3230</v>
      </c>
      <c r="F3342" s="9">
        <v>27</v>
      </c>
      <c r="G3342" s="9">
        <v>325</v>
      </c>
      <c r="H3342" s="5" t="s">
        <v>20</v>
      </c>
      <c r="I3342" s="5" t="s">
        <v>7737</v>
      </c>
      <c r="J3342" s="12" t="str">
        <f>HYPERLINK("https://www.boe.es/gazeta/dias/1807/03/24/pdfs/GMD-1807-27.pdf#page=9","Abrir facsímil")</f>
        <v>Abrir facsímil</v>
      </c>
      <c r="K3342" s="15" t="s">
        <v>22</v>
      </c>
    </row>
    <row r="3343" spans="1:11" ht="42" customHeight="1">
      <c r="A3343" s="4" t="s">
        <v>7738</v>
      </c>
      <c r="B3343" s="5" t="s">
        <v>7739</v>
      </c>
      <c r="C3343" s="5" t="s">
        <v>34</v>
      </c>
      <c r="D3343" s="5" t="s">
        <v>35</v>
      </c>
      <c r="E3343" s="5" t="s">
        <v>259</v>
      </c>
      <c r="F3343" s="9">
        <v>3</v>
      </c>
      <c r="G3343" s="9">
        <v>27</v>
      </c>
      <c r="H3343" s="5" t="s">
        <v>20</v>
      </c>
      <c r="I3343" s="5" t="s">
        <v>7740</v>
      </c>
      <c r="J3343" s="12" t="str">
        <f>HYPERLINK("https://www.boe.es/gazeta/dias/1807/01/09/pdfs/GMD-1807-3.pdf#page=7","Abrir facsímil")</f>
        <v>Abrir facsímil</v>
      </c>
      <c r="K3343" s="15" t="s">
        <v>22</v>
      </c>
    </row>
    <row r="3344" spans="1:11" ht="42" customHeight="1">
      <c r="A3344" s="4" t="s">
        <v>7741</v>
      </c>
      <c r="B3344" s="5" t="s">
        <v>7742</v>
      </c>
      <c r="C3344" s="5" t="s">
        <v>252</v>
      </c>
      <c r="D3344" s="5" t="s">
        <v>253</v>
      </c>
      <c r="E3344" s="5" t="s">
        <v>534</v>
      </c>
      <c r="F3344" s="9" t="s">
        <v>535</v>
      </c>
      <c r="G3344" s="9">
        <v>102</v>
      </c>
      <c r="H3344" s="5" t="s">
        <v>20</v>
      </c>
      <c r="I3344" s="5" t="s">
        <v>7743</v>
      </c>
      <c r="J3344" s="12" t="str">
        <f>HYPERLINK("https://www.boe.es/gazeta/dias/1807/01/24/pdfs/GMD-1807-9E.pdf#page=6","Abrir facsímil")</f>
        <v>Abrir facsímil</v>
      </c>
      <c r="K3344" s="15" t="s">
        <v>22</v>
      </c>
    </row>
    <row r="3345" spans="1:11" ht="42" customHeight="1">
      <c r="A3345" s="4" t="s">
        <v>7744</v>
      </c>
      <c r="B3345" s="5" t="s">
        <v>7744</v>
      </c>
      <c r="C3345" s="5" t="s">
        <v>28</v>
      </c>
      <c r="D3345" s="5" t="s">
        <v>29</v>
      </c>
      <c r="E3345" s="5" t="s">
        <v>346</v>
      </c>
      <c r="F3345" s="9">
        <v>21</v>
      </c>
      <c r="G3345" s="9">
        <v>245</v>
      </c>
      <c r="H3345" s="5" t="s">
        <v>20</v>
      </c>
      <c r="I3345" s="5" t="s">
        <v>7745</v>
      </c>
      <c r="J3345" s="12" t="str">
        <f>HYPERLINK("https://www.boe.es/gazeta/dias/1807/03/03/pdfs/GMD-1807-21.pdf#page=9","Abrir facsímil")</f>
        <v>Abrir facsímil</v>
      </c>
      <c r="K3345" s="15" t="s">
        <v>22</v>
      </c>
    </row>
    <row r="3346" spans="1:11" ht="42" customHeight="1">
      <c r="A3346" s="4" t="s">
        <v>7746</v>
      </c>
      <c r="B3346" s="5" t="s">
        <v>7746</v>
      </c>
      <c r="C3346" s="5" t="s">
        <v>69</v>
      </c>
      <c r="D3346" s="5" t="s">
        <v>70</v>
      </c>
      <c r="E3346" s="5" t="s">
        <v>71</v>
      </c>
      <c r="F3346" s="9">
        <v>35</v>
      </c>
      <c r="G3346" s="9" t="s">
        <v>197</v>
      </c>
      <c r="H3346" s="5" t="s">
        <v>20</v>
      </c>
      <c r="I3346" s="5" t="s">
        <v>7747</v>
      </c>
      <c r="J3346" s="12" t="str">
        <f>HYPERLINK("https://www.boe.es/gazeta/dias/1807/04/21/pdfs/C00001-00004.pdf#page=3","Abrir facsímil")</f>
        <v>Abrir facsímil</v>
      </c>
      <c r="K3346" s="15" t="s">
        <v>22</v>
      </c>
    </row>
    <row r="3347" spans="1:11" ht="42" customHeight="1">
      <c r="A3347" s="4" t="s">
        <v>7748</v>
      </c>
      <c r="B3347" s="5" t="s">
        <v>7748</v>
      </c>
      <c r="C3347" s="5" t="s">
        <v>34</v>
      </c>
      <c r="D3347" s="5" t="s">
        <v>35</v>
      </c>
      <c r="E3347" s="5" t="s">
        <v>595</v>
      </c>
      <c r="F3347" s="9">
        <v>59</v>
      </c>
      <c r="G3347" s="9">
        <v>703</v>
      </c>
      <c r="H3347" s="5" t="s">
        <v>20</v>
      </c>
      <c r="I3347" s="5" t="s">
        <v>7749</v>
      </c>
      <c r="J3347" s="12" t="str">
        <f>HYPERLINK("https://www.boe.es/gazeta/dias/1807/07/10/pdfs/GMD-1807-59.pdf#page=9","Abrir facsímil")</f>
        <v>Abrir facsímil</v>
      </c>
      <c r="K3347" s="15" t="s">
        <v>22</v>
      </c>
    </row>
    <row r="3348" spans="1:11" ht="42" customHeight="1">
      <c r="A3348" s="4" t="s">
        <v>7750</v>
      </c>
      <c r="B3348" s="5" t="s">
        <v>7751</v>
      </c>
      <c r="C3348" s="5" t="s">
        <v>34</v>
      </c>
      <c r="D3348" s="5" t="s">
        <v>35</v>
      </c>
      <c r="E3348" s="5" t="s">
        <v>40</v>
      </c>
      <c r="F3348" s="9">
        <v>26</v>
      </c>
      <c r="G3348" s="9">
        <v>313</v>
      </c>
      <c r="H3348" s="5" t="s">
        <v>20</v>
      </c>
      <c r="I3348" s="5" t="s">
        <v>7752</v>
      </c>
      <c r="J3348" s="12" t="str">
        <f>HYPERLINK("https://www.boe.es/gazeta/dias/1807/03/20/pdfs/GMD-1807-26.pdf#page=9","Abrir facsímil")</f>
        <v>Abrir facsímil</v>
      </c>
      <c r="K3348" s="15" t="s">
        <v>22</v>
      </c>
    </row>
    <row r="3349" spans="1:11" ht="42" customHeight="1">
      <c r="A3349" s="4" t="s">
        <v>7753</v>
      </c>
      <c r="B3349" s="5" t="s">
        <v>7754</v>
      </c>
      <c r="C3349" s="5" t="s">
        <v>17</v>
      </c>
      <c r="D3349" s="5" t="s">
        <v>18</v>
      </c>
      <c r="E3349" s="5" t="s">
        <v>109</v>
      </c>
      <c r="F3349" s="9">
        <v>58</v>
      </c>
      <c r="G3349" s="9">
        <v>688</v>
      </c>
      <c r="H3349" s="5" t="s">
        <v>20</v>
      </c>
      <c r="I3349" s="5" t="s">
        <v>7755</v>
      </c>
      <c r="J3349" s="12" t="str">
        <f>HYPERLINK("https://www.boe.es/gazeta/dias/1807/07/07/pdfs/GMD-1807-58.pdf#page=6","Abrir facsímil")</f>
        <v>Abrir facsímil</v>
      </c>
      <c r="K3349" s="15" t="s">
        <v>22</v>
      </c>
    </row>
    <row r="3350" spans="1:11" ht="42" customHeight="1">
      <c r="A3350" s="4" t="s">
        <v>7756</v>
      </c>
      <c r="B3350" s="5" t="s">
        <v>7757</v>
      </c>
      <c r="C3350" s="5" t="s">
        <v>252</v>
      </c>
      <c r="D3350" s="5" t="s">
        <v>253</v>
      </c>
      <c r="E3350" s="5" t="s">
        <v>534</v>
      </c>
      <c r="F3350" s="9" t="s">
        <v>535</v>
      </c>
      <c r="G3350" s="9">
        <v>102</v>
      </c>
      <c r="H3350" s="5" t="s">
        <v>20</v>
      </c>
      <c r="I3350" s="5" t="s">
        <v>7758</v>
      </c>
      <c r="J3350" s="12" t="str">
        <f>HYPERLINK("https://www.boe.es/gazeta/dias/1807/01/24/pdfs/GMD-1807-9E.pdf#page=6","Abrir facsímil")</f>
        <v>Abrir facsímil</v>
      </c>
      <c r="K3350" s="15" t="s">
        <v>22</v>
      </c>
    </row>
    <row r="3351" spans="1:11" ht="42" customHeight="1">
      <c r="A3351" s="4" t="s">
        <v>7759</v>
      </c>
      <c r="B3351" s="5" t="s">
        <v>7759</v>
      </c>
      <c r="C3351" s="5" t="s">
        <v>24</v>
      </c>
      <c r="D3351" s="5" t="s">
        <v>18</v>
      </c>
      <c r="E3351" s="5" t="s">
        <v>575</v>
      </c>
      <c r="F3351" s="9">
        <v>115</v>
      </c>
      <c r="G3351" s="9">
        <v>1340</v>
      </c>
      <c r="H3351" s="5" t="s">
        <v>20</v>
      </c>
      <c r="I3351" s="5" t="s">
        <v>7760</v>
      </c>
      <c r="J3351" s="12" t="str">
        <f>HYPERLINK("https://www.boe.es/gazeta/dias/1807/12/29/pdfs/GMD-1807-115.pdf#page=8","Abrir facsímil")</f>
        <v>Abrir facsímil</v>
      </c>
      <c r="K3351" s="15" t="s">
        <v>22</v>
      </c>
    </row>
    <row r="3352" spans="1:11" ht="42" customHeight="1">
      <c r="A3352" s="4" t="s">
        <v>7761</v>
      </c>
      <c r="B3352" s="5" t="s">
        <v>7762</v>
      </c>
      <c r="C3352" s="5" t="s">
        <v>89</v>
      </c>
      <c r="D3352" s="5" t="s">
        <v>90</v>
      </c>
      <c r="E3352" s="5" t="s">
        <v>79</v>
      </c>
      <c r="F3352" s="9">
        <v>11</v>
      </c>
      <c r="G3352" s="9">
        <v>128</v>
      </c>
      <c r="H3352" s="5" t="s">
        <v>20</v>
      </c>
      <c r="I3352" s="5" t="s">
        <v>7763</v>
      </c>
      <c r="J3352" s="12" t="str">
        <f>HYPERLINK("https://www.boe.es/gazeta/dias/1807/01/30/pdfs/GMD-1807-11.pdf#page=12","Abrir facsímil")</f>
        <v>Abrir facsímil</v>
      </c>
      <c r="K3352" s="15" t="s">
        <v>22</v>
      </c>
    </row>
    <row r="3353" spans="1:11" ht="42" customHeight="1">
      <c r="A3353" s="4" t="s">
        <v>7764</v>
      </c>
      <c r="B3353" s="5" t="s">
        <v>7765</v>
      </c>
      <c r="C3353" s="5" t="s">
        <v>28</v>
      </c>
      <c r="D3353" s="5" t="s">
        <v>29</v>
      </c>
      <c r="E3353" s="5" t="s">
        <v>36</v>
      </c>
      <c r="F3353" s="9">
        <v>36</v>
      </c>
      <c r="G3353" s="9">
        <v>429</v>
      </c>
      <c r="H3353" s="5" t="s">
        <v>20</v>
      </c>
      <c r="I3353" s="5" t="s">
        <v>7766</v>
      </c>
      <c r="J3353" s="12" t="str">
        <f>HYPERLINK("https://www.boe.es/gazeta/dias/1807/04/24/pdfs/GMD-1807-36.pdf#page=9","Abrir facsímil")</f>
        <v>Abrir facsímil</v>
      </c>
      <c r="K3353" s="15" t="s">
        <v>22</v>
      </c>
    </row>
    <row r="3354" spans="1:11" ht="42" customHeight="1">
      <c r="A3354" s="4" t="s">
        <v>7767</v>
      </c>
      <c r="B3354" s="5" t="s">
        <v>7767</v>
      </c>
      <c r="C3354" s="5" t="s">
        <v>28</v>
      </c>
      <c r="D3354" s="5" t="s">
        <v>29</v>
      </c>
      <c r="E3354" s="5" t="s">
        <v>346</v>
      </c>
      <c r="F3354" s="9">
        <v>21</v>
      </c>
      <c r="G3354" s="9">
        <v>246</v>
      </c>
      <c r="H3354" s="5" t="s">
        <v>20</v>
      </c>
      <c r="I3354" s="5" t="s">
        <v>7768</v>
      </c>
      <c r="J3354" s="12" t="str">
        <f>HYPERLINK("https://www.boe.es/gazeta/dias/1807/03/03/pdfs/GMD-1807-21.pdf#page=10","Abrir facsímil")</f>
        <v>Abrir facsímil</v>
      </c>
      <c r="K3354" s="15" t="s">
        <v>22</v>
      </c>
    </row>
    <row r="3355" spans="1:11" ht="42" customHeight="1">
      <c r="A3355" s="4" t="s">
        <v>7769</v>
      </c>
      <c r="B3355" s="5" t="s">
        <v>7769</v>
      </c>
      <c r="C3355" s="5" t="s">
        <v>28</v>
      </c>
      <c r="D3355" s="5" t="s">
        <v>29</v>
      </c>
      <c r="E3355" s="5" t="s">
        <v>101</v>
      </c>
      <c r="F3355" s="9">
        <v>23</v>
      </c>
      <c r="G3355" s="9">
        <v>271</v>
      </c>
      <c r="H3355" s="5" t="s">
        <v>20</v>
      </c>
      <c r="I3355" s="5" t="s">
        <v>7770</v>
      </c>
      <c r="J3355" s="12" t="str">
        <f>HYPERLINK("https://www.boe.es/gazeta/dias/1807/03/10/pdfs/GMD-1807-23.pdf#page=11","Abrir facsímil")</f>
        <v>Abrir facsímil</v>
      </c>
      <c r="K3355" s="15" t="s">
        <v>22</v>
      </c>
    </row>
    <row r="3356" spans="1:11" ht="42" customHeight="1">
      <c r="A3356" s="4" t="s">
        <v>7769</v>
      </c>
      <c r="B3356" s="5" t="s">
        <v>7769</v>
      </c>
      <c r="C3356" s="5" t="s">
        <v>28</v>
      </c>
      <c r="D3356" s="5" t="s">
        <v>29</v>
      </c>
      <c r="E3356" s="5" t="s">
        <v>666</v>
      </c>
      <c r="F3356" s="9">
        <v>43</v>
      </c>
      <c r="G3356" s="9">
        <v>516</v>
      </c>
      <c r="H3356" s="5" t="s">
        <v>20</v>
      </c>
      <c r="I3356" s="5" t="s">
        <v>7771</v>
      </c>
      <c r="J3356" s="12" t="str">
        <f>HYPERLINK("https://www.boe.es/gazeta/dias/1807/05/19/pdfs/GMD-1807-43.pdf#page=10","Abrir facsímil")</f>
        <v>Abrir facsímil</v>
      </c>
      <c r="K3356" s="15" t="s">
        <v>22</v>
      </c>
    </row>
    <row r="3357" spans="1:11" ht="42" customHeight="1">
      <c r="A3357" s="4" t="s">
        <v>7769</v>
      </c>
      <c r="B3357" s="5" t="s">
        <v>7769</v>
      </c>
      <c r="C3357" s="5" t="s">
        <v>28</v>
      </c>
      <c r="D3357" s="5" t="s">
        <v>29</v>
      </c>
      <c r="E3357" s="5" t="s">
        <v>221</v>
      </c>
      <c r="F3357" s="9">
        <v>73</v>
      </c>
      <c r="G3357" s="9">
        <v>844</v>
      </c>
      <c r="H3357" s="5" t="s">
        <v>20</v>
      </c>
      <c r="I3357" s="5" t="s">
        <v>7772</v>
      </c>
      <c r="J3357" s="12" t="str">
        <f>HYPERLINK("https://www.boe.es/gazeta/dias/1807/08/14/pdfs/GMD-1807-73.pdf#page=8","Abrir facsímil")</f>
        <v>Abrir facsímil</v>
      </c>
      <c r="K3357" s="15" t="s">
        <v>22</v>
      </c>
    </row>
    <row r="3358" spans="1:11" ht="42" customHeight="1">
      <c r="A3358" s="4" t="s">
        <v>7773</v>
      </c>
      <c r="B3358" s="5" t="s">
        <v>7773</v>
      </c>
      <c r="C3358" s="5" t="s">
        <v>69</v>
      </c>
      <c r="D3358" s="5" t="s">
        <v>70</v>
      </c>
      <c r="E3358" s="5" t="s">
        <v>71</v>
      </c>
      <c r="F3358" s="9">
        <v>35</v>
      </c>
      <c r="G3358" s="9" t="s">
        <v>197</v>
      </c>
      <c r="H3358" s="5" t="s">
        <v>20</v>
      </c>
      <c r="I3358" s="5" t="s">
        <v>7774</v>
      </c>
      <c r="J3358" s="12" t="str">
        <f>HYPERLINK("https://www.boe.es/gazeta/dias/1807/04/21/pdfs/C00001-00004.pdf#page=3","Abrir facsímil")</f>
        <v>Abrir facsímil</v>
      </c>
      <c r="K3358" s="15" t="s">
        <v>22</v>
      </c>
    </row>
    <row r="3359" spans="1:11" ht="42" customHeight="1">
      <c r="A3359" s="4" t="s">
        <v>7775</v>
      </c>
      <c r="B3359" s="5" t="s">
        <v>7775</v>
      </c>
      <c r="C3359" s="5" t="s">
        <v>34</v>
      </c>
      <c r="D3359" s="5" t="s">
        <v>35</v>
      </c>
      <c r="E3359" s="5" t="s">
        <v>131</v>
      </c>
      <c r="F3359" s="9">
        <v>28</v>
      </c>
      <c r="G3359" s="9">
        <v>335</v>
      </c>
      <c r="H3359" s="5" t="s">
        <v>20</v>
      </c>
      <c r="I3359" s="5" t="s">
        <v>7776</v>
      </c>
      <c r="J3359" s="12" t="str">
        <f>HYPERLINK("https://www.boe.es/gazeta/dias/1807/03/27/pdfs/GMD-1807-28.pdf#page=7","Abrir facsímil")</f>
        <v>Abrir facsímil</v>
      </c>
      <c r="K3359" s="15" t="s">
        <v>22</v>
      </c>
    </row>
    <row r="3360" spans="1:11" ht="42" customHeight="1">
      <c r="A3360" s="4" t="s">
        <v>7775</v>
      </c>
      <c r="B3360" s="5" t="s">
        <v>7775</v>
      </c>
      <c r="C3360" s="5" t="s">
        <v>24</v>
      </c>
      <c r="D3360" s="5" t="s">
        <v>18</v>
      </c>
      <c r="E3360" s="5" t="s">
        <v>25</v>
      </c>
      <c r="F3360" s="9">
        <v>45</v>
      </c>
      <c r="G3360" s="9">
        <v>541</v>
      </c>
      <c r="H3360" s="5" t="s">
        <v>20</v>
      </c>
      <c r="I3360" s="5" t="s">
        <v>7777</v>
      </c>
      <c r="J3360" s="12" t="str">
        <f>HYPERLINK("https://www.boe.es/gazeta/dias/1807/05/26/pdfs/GMD-1807-45.pdf#page=11","Abrir facsímil")</f>
        <v>Abrir facsímil</v>
      </c>
      <c r="K3360" s="15" t="s">
        <v>22</v>
      </c>
    </row>
    <row r="3361" spans="1:11" ht="42" customHeight="1">
      <c r="A3361" s="4" t="s">
        <v>7775</v>
      </c>
      <c r="B3361" s="5" t="s">
        <v>7775</v>
      </c>
      <c r="C3361" s="5" t="s">
        <v>24</v>
      </c>
      <c r="D3361" s="5" t="s">
        <v>18</v>
      </c>
      <c r="E3361" s="5" t="s">
        <v>266</v>
      </c>
      <c r="F3361" s="9">
        <v>67</v>
      </c>
      <c r="G3361" s="9">
        <v>774</v>
      </c>
      <c r="H3361" s="5" t="s">
        <v>20</v>
      </c>
      <c r="I3361" s="5" t="s">
        <v>7778</v>
      </c>
      <c r="J3361" s="12" t="str">
        <f>HYPERLINK("https://www.boe.es/gazeta/dias/1807/07/28/pdfs/GMD-1807-67.pdf#page=10","Abrir facsímil")</f>
        <v>Abrir facsímil</v>
      </c>
      <c r="K3361" s="15" t="s">
        <v>22</v>
      </c>
    </row>
    <row r="3362" spans="1:11" ht="42" customHeight="1">
      <c r="A3362" s="4" t="s">
        <v>7775</v>
      </c>
      <c r="B3362" s="5" t="s">
        <v>7775</v>
      </c>
      <c r="C3362" s="5" t="s">
        <v>24</v>
      </c>
      <c r="D3362" s="5" t="s">
        <v>18</v>
      </c>
      <c r="E3362" s="5" t="s">
        <v>245</v>
      </c>
      <c r="F3362" s="9">
        <v>97</v>
      </c>
      <c r="G3362" s="9">
        <v>1131</v>
      </c>
      <c r="H3362" s="5" t="s">
        <v>20</v>
      </c>
      <c r="I3362" s="5" t="s">
        <v>7779</v>
      </c>
      <c r="J3362" s="12" t="str">
        <f>HYPERLINK("https://www.boe.es/gazeta/dias/1807/10/30/pdfs/GMD-1807-97.pdf#page=11","Abrir facsímil")</f>
        <v>Abrir facsímil</v>
      </c>
      <c r="K3362" s="15" t="s">
        <v>22</v>
      </c>
    </row>
    <row r="3363" spans="1:11" ht="42" customHeight="1">
      <c r="A3363" s="4" t="s">
        <v>7780</v>
      </c>
      <c r="B3363" s="5" t="s">
        <v>7780</v>
      </c>
      <c r="C3363" s="5" t="s">
        <v>34</v>
      </c>
      <c r="D3363" s="5" t="s">
        <v>35</v>
      </c>
      <c r="E3363" s="5" t="s">
        <v>595</v>
      </c>
      <c r="F3363" s="9">
        <v>59</v>
      </c>
      <c r="G3363" s="9">
        <v>702</v>
      </c>
      <c r="H3363" s="5" t="s">
        <v>20</v>
      </c>
      <c r="I3363" s="5" t="s">
        <v>7781</v>
      </c>
      <c r="J3363" s="12" t="str">
        <f>HYPERLINK("https://www.boe.es/gazeta/dias/1807/07/10/pdfs/GMD-1807-59.pdf#page=8","Abrir facsímil")</f>
        <v>Abrir facsímil</v>
      </c>
      <c r="K3363" s="15" t="s">
        <v>22</v>
      </c>
    </row>
    <row r="3364" spans="1:11" ht="42" customHeight="1">
      <c r="A3364" s="4" t="s">
        <v>7782</v>
      </c>
      <c r="B3364" s="5" t="s">
        <v>7782</v>
      </c>
      <c r="C3364" s="5" t="s">
        <v>28</v>
      </c>
      <c r="D3364" s="5" t="s">
        <v>29</v>
      </c>
      <c r="E3364" s="5" t="s">
        <v>221</v>
      </c>
      <c r="F3364" s="9">
        <v>73</v>
      </c>
      <c r="G3364" s="9">
        <v>844</v>
      </c>
      <c r="H3364" s="5" t="s">
        <v>20</v>
      </c>
      <c r="I3364" s="5" t="s">
        <v>7783</v>
      </c>
      <c r="J3364" s="12" t="str">
        <f>HYPERLINK("https://www.boe.es/gazeta/dias/1807/08/14/pdfs/GMD-1807-73.pdf#page=8","Abrir facsímil")</f>
        <v>Abrir facsímil</v>
      </c>
      <c r="K3364" s="15" t="s">
        <v>22</v>
      </c>
    </row>
    <row r="3365" spans="1:11" ht="42" customHeight="1">
      <c r="A3365" s="4" t="s">
        <v>7784</v>
      </c>
      <c r="B3365" s="5" t="s">
        <v>7784</v>
      </c>
      <c r="C3365" s="5" t="s">
        <v>34</v>
      </c>
      <c r="D3365" s="5" t="s">
        <v>35</v>
      </c>
      <c r="E3365" s="5" t="s">
        <v>109</v>
      </c>
      <c r="F3365" s="9">
        <v>58</v>
      </c>
      <c r="G3365" s="9">
        <v>689</v>
      </c>
      <c r="H3365" s="5" t="s">
        <v>20</v>
      </c>
      <c r="I3365" s="5" t="s">
        <v>7785</v>
      </c>
      <c r="J3365" s="12" t="str">
        <f>HYPERLINK("https://www.boe.es/gazeta/dias/1807/07/07/pdfs/GMD-1807-58.pdf#page=7","Abrir facsímil")</f>
        <v>Abrir facsímil</v>
      </c>
      <c r="K3365" s="15" t="s">
        <v>22</v>
      </c>
    </row>
    <row r="3366" spans="1:11" ht="42" customHeight="1">
      <c r="A3366" s="4" t="s">
        <v>7784</v>
      </c>
      <c r="B3366" s="5" t="s">
        <v>7784</v>
      </c>
      <c r="C3366" s="5" t="s">
        <v>34</v>
      </c>
      <c r="D3366" s="5" t="s">
        <v>35</v>
      </c>
      <c r="E3366" s="5" t="s">
        <v>46</v>
      </c>
      <c r="F3366" s="9">
        <v>78</v>
      </c>
      <c r="G3366" s="9">
        <v>905</v>
      </c>
      <c r="H3366" s="5" t="s">
        <v>20</v>
      </c>
      <c r="I3366" s="5" t="s">
        <v>7786</v>
      </c>
      <c r="J3366" s="12" t="str">
        <f>HYPERLINK("https://www.boe.es/gazeta/dias/1807/09/01/pdfs/GMD-1807-78.pdf#page=9","Abrir facsímil")</f>
        <v>Abrir facsímil</v>
      </c>
      <c r="K3366" s="15" t="s">
        <v>22</v>
      </c>
    </row>
    <row r="3367" spans="1:11" ht="42" customHeight="1">
      <c r="A3367" s="4" t="s">
        <v>7787</v>
      </c>
      <c r="B3367" s="5" t="s">
        <v>7787</v>
      </c>
      <c r="C3367" s="5" t="s">
        <v>89</v>
      </c>
      <c r="D3367" s="5" t="s">
        <v>90</v>
      </c>
      <c r="E3367" s="5" t="s">
        <v>507</v>
      </c>
      <c r="F3367" s="9">
        <v>48</v>
      </c>
      <c r="G3367" s="9">
        <v>574</v>
      </c>
      <c r="H3367" s="5" t="s">
        <v>20</v>
      </c>
      <c r="I3367" s="5" t="s">
        <v>7788</v>
      </c>
      <c r="J3367" s="12" t="str">
        <f>HYPERLINK("https://www.boe.es/gazeta/dias/1807/06/05/pdfs/GMD-1807-48.pdf#page=12","Abrir facsímil")</f>
        <v>Abrir facsímil</v>
      </c>
      <c r="K3367" s="15" t="s">
        <v>22</v>
      </c>
    </row>
    <row r="3368" spans="1:11" ht="42" customHeight="1">
      <c r="A3368" s="4" t="s">
        <v>7787</v>
      </c>
      <c r="B3368" s="5" t="s">
        <v>7787</v>
      </c>
      <c r="C3368" s="5" t="s">
        <v>89</v>
      </c>
      <c r="D3368" s="5" t="s">
        <v>90</v>
      </c>
      <c r="E3368" s="5" t="s">
        <v>321</v>
      </c>
      <c r="F3368" s="9">
        <v>75</v>
      </c>
      <c r="G3368" s="9">
        <v>872</v>
      </c>
      <c r="H3368" s="5" t="s">
        <v>20</v>
      </c>
      <c r="I3368" s="5" t="s">
        <v>7789</v>
      </c>
      <c r="J3368" s="12" t="str">
        <f>HYPERLINK("https://www.boe.es/gazeta/dias/1807/08/21/pdfs/GMD-1807-75.pdf#page=12","Abrir facsímil")</f>
        <v>Abrir facsímil</v>
      </c>
      <c r="K3368" s="15" t="s">
        <v>22</v>
      </c>
    </row>
    <row r="3369" spans="1:11" ht="42" customHeight="1">
      <c r="A3369" s="4" t="s">
        <v>7787</v>
      </c>
      <c r="B3369" s="5" t="s">
        <v>7787</v>
      </c>
      <c r="C3369" s="5" t="s">
        <v>89</v>
      </c>
      <c r="D3369" s="5" t="s">
        <v>90</v>
      </c>
      <c r="E3369" s="5" t="s">
        <v>461</v>
      </c>
      <c r="F3369" s="9">
        <v>99</v>
      </c>
      <c r="G3369" s="9">
        <v>1156</v>
      </c>
      <c r="H3369" s="5" t="s">
        <v>20</v>
      </c>
      <c r="I3369" s="5" t="s">
        <v>7790</v>
      </c>
      <c r="J3369" s="12" t="str">
        <f>HYPERLINK("https://www.boe.es/gazeta/dias/1807/11/06/pdfs/GMD-1807-99.pdf#page=12","Abrir facsímil")</f>
        <v>Abrir facsímil</v>
      </c>
      <c r="K3369" s="15" t="s">
        <v>22</v>
      </c>
    </row>
    <row r="3370" spans="1:11" ht="42" customHeight="1">
      <c r="A3370" s="4" t="s">
        <v>7791</v>
      </c>
      <c r="B3370" s="5" t="s">
        <v>7791</v>
      </c>
      <c r="C3370" s="5" t="s">
        <v>89</v>
      </c>
      <c r="D3370" s="5" t="s">
        <v>90</v>
      </c>
      <c r="E3370" s="5" t="s">
        <v>498</v>
      </c>
      <c r="F3370" s="9">
        <v>32</v>
      </c>
      <c r="G3370" s="9">
        <v>384</v>
      </c>
      <c r="H3370" s="5" t="s">
        <v>20</v>
      </c>
      <c r="I3370" s="5" t="s">
        <v>7792</v>
      </c>
      <c r="J3370" s="12" t="str">
        <f>HYPERLINK("https://www.boe.es/gazeta/dias/1807/04/10/pdfs/GMD-1807-32.pdf#page=12","Abrir facsímil")</f>
        <v>Abrir facsímil</v>
      </c>
      <c r="K3370" s="15" t="s">
        <v>22</v>
      </c>
    </row>
    <row r="3371" spans="1:11" ht="42" customHeight="1">
      <c r="A3371" s="4" t="s">
        <v>7793</v>
      </c>
      <c r="B3371" s="5" t="s">
        <v>7793</v>
      </c>
      <c r="C3371" s="5" t="s">
        <v>28</v>
      </c>
      <c r="D3371" s="5" t="s">
        <v>29</v>
      </c>
      <c r="E3371" s="5" t="s">
        <v>221</v>
      </c>
      <c r="F3371" s="9">
        <v>73</v>
      </c>
      <c r="G3371" s="9">
        <v>845</v>
      </c>
      <c r="H3371" s="5" t="s">
        <v>20</v>
      </c>
      <c r="I3371" s="5" t="s">
        <v>7794</v>
      </c>
      <c r="J3371" s="12" t="str">
        <f>HYPERLINK("https://www.boe.es/gazeta/dias/1807/08/14/pdfs/GMD-1807-73.pdf#page=9","Abrir facsímil")</f>
        <v>Abrir facsímil</v>
      </c>
      <c r="K3371" s="15" t="s">
        <v>22</v>
      </c>
    </row>
    <row r="3372" spans="1:11" ht="42" customHeight="1">
      <c r="A3372" s="4" t="s">
        <v>7793</v>
      </c>
      <c r="B3372" s="5" t="s">
        <v>7793</v>
      </c>
      <c r="C3372" s="5" t="s">
        <v>28</v>
      </c>
      <c r="D3372" s="5" t="s">
        <v>29</v>
      </c>
      <c r="E3372" s="5" t="s">
        <v>156</v>
      </c>
      <c r="F3372" s="9">
        <v>74</v>
      </c>
      <c r="G3372" s="9">
        <v>855</v>
      </c>
      <c r="H3372" s="5" t="s">
        <v>20</v>
      </c>
      <c r="I3372" s="5" t="s">
        <v>7795</v>
      </c>
      <c r="J3372" s="12" t="str">
        <f>HYPERLINK("https://www.boe.es/gazeta/dias/1807/08/18/pdfs/GMD-1807-74.pdf#page=7","Abrir facsímil")</f>
        <v>Abrir facsímil</v>
      </c>
      <c r="K3372" s="15" t="s">
        <v>22</v>
      </c>
    </row>
    <row r="3373" spans="1:11" ht="42" customHeight="1">
      <c r="A3373" s="4" t="s">
        <v>7796</v>
      </c>
      <c r="B3373" s="5" t="s">
        <v>7796</v>
      </c>
      <c r="C3373" s="5" t="s">
        <v>28</v>
      </c>
      <c r="D3373" s="5" t="s">
        <v>29</v>
      </c>
      <c r="E3373" s="5" t="s">
        <v>259</v>
      </c>
      <c r="F3373" s="9">
        <v>3</v>
      </c>
      <c r="G3373" s="9">
        <v>27</v>
      </c>
      <c r="H3373" s="5" t="s">
        <v>20</v>
      </c>
      <c r="I3373" s="5" t="s">
        <v>7797</v>
      </c>
      <c r="J3373" s="12" t="str">
        <f>HYPERLINK("https://www.boe.es/gazeta/dias/1807/01/09/pdfs/GMD-1807-3.pdf#page=7","Abrir facsímil")</f>
        <v>Abrir facsímil</v>
      </c>
      <c r="K3373" s="15" t="s">
        <v>22</v>
      </c>
    </row>
    <row r="3374" spans="1:11" ht="42" customHeight="1">
      <c r="A3374" s="4" t="s">
        <v>7798</v>
      </c>
      <c r="B3374" s="5" t="s">
        <v>7799</v>
      </c>
      <c r="C3374" s="5" t="s">
        <v>28</v>
      </c>
      <c r="D3374" s="5" t="s">
        <v>29</v>
      </c>
      <c r="E3374" s="5" t="s">
        <v>361</v>
      </c>
      <c r="F3374" s="9">
        <v>113</v>
      </c>
      <c r="G3374" s="9">
        <v>1322</v>
      </c>
      <c r="H3374" s="5" t="s">
        <v>20</v>
      </c>
      <c r="I3374" s="5" t="s">
        <v>7800</v>
      </c>
      <c r="J3374" s="12" t="str">
        <f>HYPERLINK("https://www.boe.es/gazeta/dias/1807/12/22/pdfs/GMD-1807-113.pdf#page=10","Abrir facsímil")</f>
        <v>Abrir facsímil</v>
      </c>
      <c r="K3374" s="15" t="s">
        <v>22</v>
      </c>
    </row>
    <row r="3375" spans="1:11" ht="42" customHeight="1">
      <c r="A3375" s="4" t="s">
        <v>7801</v>
      </c>
      <c r="B3375" s="5" t="s">
        <v>7801</v>
      </c>
      <c r="C3375" s="5" t="s">
        <v>24</v>
      </c>
      <c r="D3375" s="5" t="s">
        <v>18</v>
      </c>
      <c r="E3375" s="5" t="s">
        <v>208</v>
      </c>
      <c r="F3375" s="9">
        <v>42</v>
      </c>
      <c r="G3375" s="9">
        <v>504</v>
      </c>
      <c r="H3375" s="5" t="s">
        <v>20</v>
      </c>
      <c r="I3375" s="5" t="s">
        <v>7802</v>
      </c>
      <c r="J3375" s="12" t="str">
        <f>HYPERLINK("https://www.boe.es/gazeta/dias/1807/05/15/pdfs/GMD-1807-42.pdf#page=10","Abrir facsímil")</f>
        <v>Abrir facsímil</v>
      </c>
      <c r="K3375" s="15" t="s">
        <v>22</v>
      </c>
    </row>
    <row r="3376" spans="1:11" ht="42" customHeight="1">
      <c r="A3376" s="4" t="s">
        <v>7801</v>
      </c>
      <c r="B3376" s="5" t="s">
        <v>7801</v>
      </c>
      <c r="C3376" s="5" t="s">
        <v>24</v>
      </c>
      <c r="D3376" s="5" t="s">
        <v>18</v>
      </c>
      <c r="E3376" s="5" t="s">
        <v>441</v>
      </c>
      <c r="F3376" s="9">
        <v>92</v>
      </c>
      <c r="G3376" s="9">
        <v>1070</v>
      </c>
      <c r="H3376" s="5" t="s">
        <v>20</v>
      </c>
      <c r="I3376" s="5" t="s">
        <v>7803</v>
      </c>
      <c r="J3376" s="12" t="str">
        <f>HYPERLINK("https://www.boe.es/gazeta/dias/1807/10/13/pdfs/GMD-1807-92.pdf#page=10","Abrir facsímil")</f>
        <v>Abrir facsímil</v>
      </c>
      <c r="K3376" s="15" t="s">
        <v>22</v>
      </c>
    </row>
    <row r="3377" spans="1:11" ht="42" customHeight="1">
      <c r="A3377" s="4" t="s">
        <v>7804</v>
      </c>
      <c r="B3377" s="5" t="s">
        <v>7805</v>
      </c>
      <c r="C3377" s="5" t="s">
        <v>34</v>
      </c>
      <c r="D3377" s="5" t="s">
        <v>35</v>
      </c>
      <c r="E3377" s="5" t="s">
        <v>111</v>
      </c>
      <c r="F3377" s="9">
        <v>90</v>
      </c>
      <c r="G3377" s="9">
        <v>1044</v>
      </c>
      <c r="H3377" s="5" t="s">
        <v>20</v>
      </c>
      <c r="I3377" s="5" t="s">
        <v>7806</v>
      </c>
      <c r="J3377" s="12" t="str">
        <f>HYPERLINK("https://www.boe.es/gazeta/dias/1807/10/06/pdfs/GMD-1807-90.pdf#page=12","Abrir facsímil")</f>
        <v>Abrir facsímil</v>
      </c>
      <c r="K3377" s="15" t="s">
        <v>22</v>
      </c>
    </row>
    <row r="3378" spans="1:11" ht="42" customHeight="1">
      <c r="A3378" s="4" t="s">
        <v>7807</v>
      </c>
      <c r="B3378" s="5" t="s">
        <v>7807</v>
      </c>
      <c r="C3378" s="5" t="s">
        <v>17</v>
      </c>
      <c r="D3378" s="5" t="s">
        <v>18</v>
      </c>
      <c r="E3378" s="5" t="s">
        <v>51</v>
      </c>
      <c r="F3378" s="9">
        <v>62</v>
      </c>
      <c r="G3378" s="9">
        <v>734</v>
      </c>
      <c r="H3378" s="5" t="s">
        <v>20</v>
      </c>
      <c r="I3378" s="5" t="s">
        <v>7808</v>
      </c>
      <c r="J3378" s="12" t="str">
        <f>HYPERLINK("https://www.boe.es/gazeta/dias/1807/07/17/pdfs/GMD-1807-62.pdf#page=8","Abrir facsímil")</f>
        <v>Abrir facsímil</v>
      </c>
      <c r="K3378" s="15" t="s">
        <v>22</v>
      </c>
    </row>
    <row r="3379" spans="1:11" ht="42" customHeight="1">
      <c r="A3379" s="4" t="s">
        <v>7809</v>
      </c>
      <c r="B3379" s="5" t="s">
        <v>7809</v>
      </c>
      <c r="C3379" s="5" t="s">
        <v>24</v>
      </c>
      <c r="D3379" s="5" t="s">
        <v>18</v>
      </c>
      <c r="E3379" s="5" t="s">
        <v>98</v>
      </c>
      <c r="F3379" s="9">
        <v>34</v>
      </c>
      <c r="G3379" s="9">
        <v>404</v>
      </c>
      <c r="H3379" s="5" t="s">
        <v>20</v>
      </c>
      <c r="I3379" s="5" t="s">
        <v>7810</v>
      </c>
      <c r="J3379" s="12" t="str">
        <f>HYPERLINK("https://www.boe.es/gazeta/dias/1807/04/17/pdfs/GMD-1807-34.pdf#page=8","Abrir facsímil")</f>
        <v>Abrir facsímil</v>
      </c>
      <c r="K3379" s="15" t="s">
        <v>22</v>
      </c>
    </row>
    <row r="3380" spans="1:11" ht="42" customHeight="1">
      <c r="A3380" s="4" t="s">
        <v>7811</v>
      </c>
      <c r="B3380" s="5" t="s">
        <v>7812</v>
      </c>
      <c r="C3380" s="5" t="s">
        <v>34</v>
      </c>
      <c r="D3380" s="5" t="s">
        <v>35</v>
      </c>
      <c r="E3380" s="5" t="s">
        <v>567</v>
      </c>
      <c r="F3380" s="9">
        <v>55</v>
      </c>
      <c r="G3380" s="9">
        <v>659</v>
      </c>
      <c r="H3380" s="5" t="s">
        <v>20</v>
      </c>
      <c r="I3380" s="5" t="s">
        <v>7813</v>
      </c>
      <c r="J3380" s="12" t="str">
        <f>HYPERLINK("https://www.boe.es/gazeta/dias/1807/06/30/pdfs/GMD-1807-55.pdf#page=9","Abrir facsímil")</f>
        <v>Abrir facsímil</v>
      </c>
      <c r="K3380" s="15" t="s">
        <v>22</v>
      </c>
    </row>
    <row r="3381" spans="1:11" ht="42" customHeight="1">
      <c r="A3381" s="4" t="s">
        <v>7814</v>
      </c>
      <c r="B3381" s="5" t="s">
        <v>7814</v>
      </c>
      <c r="C3381" s="5" t="s">
        <v>24</v>
      </c>
      <c r="D3381" s="5" t="s">
        <v>18</v>
      </c>
      <c r="E3381" s="5" t="s">
        <v>176</v>
      </c>
      <c r="F3381" s="9">
        <v>17</v>
      </c>
      <c r="G3381" s="9">
        <v>197</v>
      </c>
      <c r="H3381" s="5" t="s">
        <v>20</v>
      </c>
      <c r="I3381" s="5" t="s">
        <v>7815</v>
      </c>
      <c r="J3381" s="12" t="str">
        <f>HYPERLINK("https://www.boe.es/gazeta/dias/1807/02/20/pdfs/GMD-1807-17.pdf#page=9","Abrir facsímil")</f>
        <v>Abrir facsímil</v>
      </c>
      <c r="K3381" s="15" t="s">
        <v>22</v>
      </c>
    </row>
    <row r="3382" spans="1:11" ht="42" customHeight="1">
      <c r="A3382" s="4" t="s">
        <v>7816</v>
      </c>
      <c r="B3382" s="5" t="s">
        <v>7817</v>
      </c>
      <c r="C3382" s="5" t="s">
        <v>24</v>
      </c>
      <c r="D3382" s="5" t="s">
        <v>18</v>
      </c>
      <c r="E3382" s="5" t="s">
        <v>471</v>
      </c>
      <c r="F3382" s="9">
        <v>51</v>
      </c>
      <c r="G3382" s="9">
        <v>609</v>
      </c>
      <c r="H3382" s="5" t="s">
        <v>20</v>
      </c>
      <c r="I3382" s="5" t="s">
        <v>7818</v>
      </c>
      <c r="J3382" s="12" t="str">
        <f>HYPERLINK("https://www.boe.es/gazeta/dias/1807/06/16/pdfs/GMD-1807-51.pdf#page=11","Abrir facsímil")</f>
        <v>Abrir facsímil</v>
      </c>
      <c r="K3382" s="15" t="s">
        <v>22</v>
      </c>
    </row>
    <row r="3383" spans="1:11" ht="42" customHeight="1">
      <c r="A3383" s="4" t="s">
        <v>7816</v>
      </c>
      <c r="B3383" s="5" t="s">
        <v>7817</v>
      </c>
      <c r="C3383" s="5" t="s">
        <v>24</v>
      </c>
      <c r="D3383" s="5" t="s">
        <v>18</v>
      </c>
      <c r="E3383" s="5" t="s">
        <v>241</v>
      </c>
      <c r="F3383" s="9">
        <v>76</v>
      </c>
      <c r="G3383" s="9">
        <v>883</v>
      </c>
      <c r="H3383" s="5" t="s">
        <v>20</v>
      </c>
      <c r="I3383" s="5" t="s">
        <v>7819</v>
      </c>
      <c r="J3383" s="12" t="str">
        <f>HYPERLINK("https://www.boe.es/gazeta/dias/1807/08/25/pdfs/GMD-1807-76.pdf#page=11","Abrir facsímil")</f>
        <v>Abrir facsímil</v>
      </c>
      <c r="K3383" s="15" t="s">
        <v>22</v>
      </c>
    </row>
    <row r="3384" spans="1:11" ht="42" customHeight="1">
      <c r="A3384" s="4" t="s">
        <v>7816</v>
      </c>
      <c r="B3384" s="5" t="s">
        <v>7817</v>
      </c>
      <c r="C3384" s="5" t="s">
        <v>24</v>
      </c>
      <c r="D3384" s="5" t="s">
        <v>18</v>
      </c>
      <c r="E3384" s="5" t="s">
        <v>46</v>
      </c>
      <c r="F3384" s="9">
        <v>78</v>
      </c>
      <c r="G3384" s="9">
        <v>906</v>
      </c>
      <c r="H3384" s="5" t="s">
        <v>20</v>
      </c>
      <c r="I3384" s="5" t="s">
        <v>7820</v>
      </c>
      <c r="J3384" s="12" t="str">
        <f>HYPERLINK("https://www.boe.es/gazeta/dias/1807/09/01/pdfs/GMD-1807-78.pdf#page=10","Abrir facsímil")</f>
        <v>Abrir facsímil</v>
      </c>
      <c r="K3384" s="15" t="s">
        <v>22</v>
      </c>
    </row>
    <row r="3385" spans="1:11" ht="42" customHeight="1">
      <c r="A3385" s="4" t="s">
        <v>7821</v>
      </c>
      <c r="B3385" s="5" t="s">
        <v>7822</v>
      </c>
      <c r="C3385" s="5" t="s">
        <v>28</v>
      </c>
      <c r="D3385" s="5" t="s">
        <v>29</v>
      </c>
      <c r="E3385" s="5" t="s">
        <v>91</v>
      </c>
      <c r="F3385" s="9">
        <v>109</v>
      </c>
      <c r="G3385" s="9">
        <v>1272</v>
      </c>
      <c r="H3385" s="5" t="s">
        <v>20</v>
      </c>
      <c r="I3385" s="5" t="s">
        <v>7823</v>
      </c>
      <c r="J3385" s="12" t="str">
        <f>HYPERLINK("https://www.boe.es/gazeta/dias/1807/12/08/pdfs/GMD-1807-109.pdf#page=8","Abrir facsímil")</f>
        <v>Abrir facsímil</v>
      </c>
      <c r="K3385" s="15" t="s">
        <v>22</v>
      </c>
    </row>
    <row r="3386" spans="1:11" ht="42" customHeight="1">
      <c r="A3386" s="4" t="s">
        <v>7824</v>
      </c>
      <c r="B3386" s="5" t="s">
        <v>7825</v>
      </c>
      <c r="C3386" s="5" t="s">
        <v>28</v>
      </c>
      <c r="D3386" s="5" t="s">
        <v>29</v>
      </c>
      <c r="E3386" s="5" t="s">
        <v>40</v>
      </c>
      <c r="F3386" s="9">
        <v>26</v>
      </c>
      <c r="G3386" s="9">
        <v>313</v>
      </c>
      <c r="H3386" s="5" t="s">
        <v>20</v>
      </c>
      <c r="I3386" s="5" t="s">
        <v>7826</v>
      </c>
      <c r="J3386" s="12" t="str">
        <f>HYPERLINK("https://www.boe.es/gazeta/dias/1807/03/20/pdfs/GMD-1807-26.pdf#page=9","Abrir facsímil")</f>
        <v>Abrir facsímil</v>
      </c>
      <c r="K3386" s="15" t="s">
        <v>22</v>
      </c>
    </row>
    <row r="3387" spans="1:11" ht="42" customHeight="1">
      <c r="A3387" s="4" t="s">
        <v>7827</v>
      </c>
      <c r="B3387" s="5" t="s">
        <v>7827</v>
      </c>
      <c r="C3387" s="5" t="s">
        <v>24</v>
      </c>
      <c r="D3387" s="5" t="s">
        <v>18</v>
      </c>
      <c r="E3387" s="5" t="s">
        <v>414</v>
      </c>
      <c r="F3387" s="9">
        <v>40</v>
      </c>
      <c r="G3387" s="9">
        <v>479</v>
      </c>
      <c r="H3387" s="5" t="s">
        <v>20</v>
      </c>
      <c r="I3387" s="5" t="s">
        <v>7828</v>
      </c>
      <c r="J3387" s="12" t="str">
        <f>HYPERLINK("https://www.boe.es/gazeta/dias/1807/05/08/pdfs/GMD-1807-40.pdf#page=9","Abrir facsímil")</f>
        <v>Abrir facsímil</v>
      </c>
      <c r="K3387" s="15" t="s">
        <v>22</v>
      </c>
    </row>
    <row r="3388" spans="1:11" ht="42" customHeight="1">
      <c r="A3388" s="4" t="s">
        <v>7827</v>
      </c>
      <c r="B3388" s="5" t="s">
        <v>7827</v>
      </c>
      <c r="C3388" s="5" t="s">
        <v>24</v>
      </c>
      <c r="D3388" s="5" t="s">
        <v>18</v>
      </c>
      <c r="E3388" s="5" t="s">
        <v>266</v>
      </c>
      <c r="F3388" s="9">
        <v>67</v>
      </c>
      <c r="G3388" s="9">
        <v>774</v>
      </c>
      <c r="H3388" s="5" t="s">
        <v>20</v>
      </c>
      <c r="I3388" s="5" t="s">
        <v>7829</v>
      </c>
      <c r="J3388" s="12" t="str">
        <f>HYPERLINK("https://www.boe.es/gazeta/dias/1807/07/28/pdfs/GMD-1807-67.pdf#page=10","Abrir facsímil")</f>
        <v>Abrir facsímil</v>
      </c>
      <c r="K3388" s="15" t="s">
        <v>22</v>
      </c>
    </row>
    <row r="3389" spans="1:11" ht="42" customHeight="1">
      <c r="A3389" s="4" t="s">
        <v>7830</v>
      </c>
      <c r="B3389" s="5" t="s">
        <v>7830</v>
      </c>
      <c r="C3389" s="5" t="s">
        <v>28</v>
      </c>
      <c r="D3389" s="5" t="s">
        <v>29</v>
      </c>
      <c r="E3389" s="5" t="s">
        <v>595</v>
      </c>
      <c r="F3389" s="9">
        <v>59</v>
      </c>
      <c r="G3389" s="9">
        <v>702</v>
      </c>
      <c r="H3389" s="5" t="s">
        <v>20</v>
      </c>
      <c r="I3389" s="5" t="s">
        <v>7831</v>
      </c>
      <c r="J3389" s="12" t="str">
        <f>HYPERLINK("https://www.boe.es/gazeta/dias/1807/07/10/pdfs/GMD-1807-59.pdf#page=8","Abrir facsímil")</f>
        <v>Abrir facsímil</v>
      </c>
      <c r="K3389" s="15" t="s">
        <v>22</v>
      </c>
    </row>
    <row r="3390" spans="1:11" ht="42" customHeight="1">
      <c r="A3390" s="4" t="s">
        <v>7832</v>
      </c>
      <c r="B3390" s="5" t="s">
        <v>7832</v>
      </c>
      <c r="C3390" s="5" t="s">
        <v>34</v>
      </c>
      <c r="D3390" s="5" t="s">
        <v>35</v>
      </c>
      <c r="E3390" s="5" t="s">
        <v>595</v>
      </c>
      <c r="F3390" s="9">
        <v>59</v>
      </c>
      <c r="G3390" s="9">
        <v>702</v>
      </c>
      <c r="H3390" s="5" t="s">
        <v>20</v>
      </c>
      <c r="I3390" s="5" t="s">
        <v>7833</v>
      </c>
      <c r="J3390" s="12" t="str">
        <f>HYPERLINK("https://www.boe.es/gazeta/dias/1807/07/10/pdfs/GMD-1807-59.pdf#page=8","Abrir facsímil")</f>
        <v>Abrir facsímil</v>
      </c>
      <c r="K3390" s="15" t="s">
        <v>22</v>
      </c>
    </row>
    <row r="3391" spans="1:11" ht="42" customHeight="1">
      <c r="A3391" s="4" t="s">
        <v>7834</v>
      </c>
      <c r="B3391" s="5" t="s">
        <v>7835</v>
      </c>
      <c r="C3391" s="5" t="s">
        <v>28</v>
      </c>
      <c r="D3391" s="5" t="s">
        <v>29</v>
      </c>
      <c r="E3391" s="5" t="s">
        <v>595</v>
      </c>
      <c r="F3391" s="9">
        <v>59</v>
      </c>
      <c r="G3391" s="9">
        <v>702</v>
      </c>
      <c r="H3391" s="5" t="s">
        <v>20</v>
      </c>
      <c r="I3391" s="5" t="s">
        <v>7836</v>
      </c>
      <c r="J3391" s="12" t="str">
        <f>HYPERLINK("https://www.boe.es/gazeta/dias/1807/07/10/pdfs/GMD-1807-59.pdf#page=8","Abrir facsímil")</f>
        <v>Abrir facsímil</v>
      </c>
      <c r="K3391" s="15" t="s">
        <v>22</v>
      </c>
    </row>
    <row r="3392" spans="1:11" ht="42" customHeight="1">
      <c r="A3392" s="4" t="s">
        <v>7837</v>
      </c>
      <c r="B3392" s="5" t="s">
        <v>7837</v>
      </c>
      <c r="C3392" s="5" t="s">
        <v>34</v>
      </c>
      <c r="D3392" s="5" t="s">
        <v>35</v>
      </c>
      <c r="E3392" s="5" t="s">
        <v>111</v>
      </c>
      <c r="F3392" s="9">
        <v>90</v>
      </c>
      <c r="G3392" s="9">
        <v>1046</v>
      </c>
      <c r="H3392" s="5" t="s">
        <v>20</v>
      </c>
      <c r="I3392" s="5" t="s">
        <v>7838</v>
      </c>
      <c r="J3392" s="12" t="str">
        <f>HYPERLINK("https://www.boe.es/gazeta/dias/1807/10/06/pdfs/GMD-1807-90.pdf#page=14","Abrir facsímil")</f>
        <v>Abrir facsímil</v>
      </c>
      <c r="K3392" s="15" t="s">
        <v>22</v>
      </c>
    </row>
    <row r="3393" spans="1:11" ht="42" customHeight="1">
      <c r="A3393" s="4" t="s">
        <v>7839</v>
      </c>
      <c r="B3393" s="5" t="s">
        <v>7839</v>
      </c>
      <c r="C3393" s="5" t="s">
        <v>28</v>
      </c>
      <c r="D3393" s="5" t="s">
        <v>29</v>
      </c>
      <c r="E3393" s="5" t="s">
        <v>346</v>
      </c>
      <c r="F3393" s="9">
        <v>21</v>
      </c>
      <c r="G3393" s="9">
        <v>246</v>
      </c>
      <c r="H3393" s="5" t="s">
        <v>20</v>
      </c>
      <c r="I3393" s="5" t="s">
        <v>7840</v>
      </c>
      <c r="J3393" s="12" t="str">
        <f>HYPERLINK("https://www.boe.es/gazeta/dias/1807/03/03/pdfs/GMD-1807-21.pdf#page=10","Abrir facsímil")</f>
        <v>Abrir facsímil</v>
      </c>
      <c r="K3393" s="15" t="s">
        <v>22</v>
      </c>
    </row>
    <row r="3394" spans="1:11" ht="42" customHeight="1">
      <c r="A3394" s="4" t="s">
        <v>7841</v>
      </c>
      <c r="B3394" s="5" t="s">
        <v>7841</v>
      </c>
      <c r="C3394" s="5" t="s">
        <v>28</v>
      </c>
      <c r="D3394" s="5" t="s">
        <v>29</v>
      </c>
      <c r="E3394" s="5" t="s">
        <v>471</v>
      </c>
      <c r="F3394" s="9">
        <v>51</v>
      </c>
      <c r="G3394" s="9">
        <v>607</v>
      </c>
      <c r="H3394" s="5" t="s">
        <v>20</v>
      </c>
      <c r="I3394" s="5" t="s">
        <v>7842</v>
      </c>
      <c r="J3394" s="12" t="str">
        <f>HYPERLINK("https://www.boe.es/gazeta/dias/1807/06/16/pdfs/GMD-1807-51.pdf#page=9","Abrir facsímil")</f>
        <v>Abrir facsímil</v>
      </c>
      <c r="K3394" s="15" t="s">
        <v>22</v>
      </c>
    </row>
    <row r="3395" spans="1:11" ht="42" customHeight="1">
      <c r="A3395" s="4" t="s">
        <v>7843</v>
      </c>
      <c r="B3395" s="5" t="s">
        <v>7843</v>
      </c>
      <c r="C3395" s="5" t="s">
        <v>17</v>
      </c>
      <c r="D3395" s="5" t="s">
        <v>18</v>
      </c>
      <c r="E3395" s="5" t="s">
        <v>305</v>
      </c>
      <c r="F3395" s="9">
        <v>53</v>
      </c>
      <c r="G3395" s="9">
        <v>634</v>
      </c>
      <c r="H3395" s="5" t="s">
        <v>20</v>
      </c>
      <c r="I3395" s="5" t="s">
        <v>7844</v>
      </c>
      <c r="J3395" s="12" t="str">
        <f>HYPERLINK("https://www.boe.es/gazeta/dias/1807/06/23/pdfs/GMD-1807-53.pdf#page=8","Abrir facsímil")</f>
        <v>Abrir facsímil</v>
      </c>
      <c r="K3395" s="15" t="s">
        <v>22</v>
      </c>
    </row>
    <row r="3396" spans="1:11" ht="42" customHeight="1">
      <c r="A3396" s="4" t="s">
        <v>7845</v>
      </c>
      <c r="B3396" s="5" t="s">
        <v>7845</v>
      </c>
      <c r="C3396" s="5" t="s">
        <v>28</v>
      </c>
      <c r="D3396" s="5" t="s">
        <v>29</v>
      </c>
      <c r="E3396" s="5" t="s">
        <v>53</v>
      </c>
      <c r="F3396" s="9">
        <v>64</v>
      </c>
      <c r="G3396" s="9">
        <v>748</v>
      </c>
      <c r="H3396" s="5" t="s">
        <v>20</v>
      </c>
      <c r="I3396" s="5" t="s">
        <v>7846</v>
      </c>
      <c r="J3396" s="12" t="str">
        <f>HYPERLINK("https://www.boe.es/gazeta/dias/1807/07/21/pdfs/GMD-1807-64.pdf#page=10","Abrir facsímil")</f>
        <v>Abrir facsímil</v>
      </c>
      <c r="K3396" s="15" t="s">
        <v>22</v>
      </c>
    </row>
    <row r="3397" spans="1:11" ht="42" customHeight="1">
      <c r="A3397" s="4" t="s">
        <v>7845</v>
      </c>
      <c r="B3397" s="5" t="s">
        <v>7845</v>
      </c>
      <c r="C3397" s="5" t="s">
        <v>28</v>
      </c>
      <c r="D3397" s="5" t="s">
        <v>29</v>
      </c>
      <c r="E3397" s="5" t="s">
        <v>754</v>
      </c>
      <c r="F3397" s="9">
        <v>103</v>
      </c>
      <c r="G3397" s="9">
        <v>1203</v>
      </c>
      <c r="H3397" s="5" t="s">
        <v>20</v>
      </c>
      <c r="I3397" s="5" t="s">
        <v>7847</v>
      </c>
      <c r="J3397" s="12" t="str">
        <f>HYPERLINK("https://www.boe.es/gazeta/dias/1807/11/20/pdfs/GMD-1807-103.pdf#page=11","Abrir facsímil")</f>
        <v>Abrir facsímil</v>
      </c>
      <c r="K3397" s="15" t="s">
        <v>22</v>
      </c>
    </row>
    <row r="3398" spans="1:11" ht="42" customHeight="1">
      <c r="A3398" s="4" t="s">
        <v>7848</v>
      </c>
      <c r="B3398" s="5" t="s">
        <v>7848</v>
      </c>
      <c r="C3398" s="5" t="s">
        <v>34</v>
      </c>
      <c r="D3398" s="5" t="s">
        <v>35</v>
      </c>
      <c r="E3398" s="5" t="s">
        <v>461</v>
      </c>
      <c r="F3398" s="9">
        <v>99</v>
      </c>
      <c r="G3398" s="9">
        <v>1153</v>
      </c>
      <c r="H3398" s="5" t="s">
        <v>20</v>
      </c>
      <c r="I3398" s="5" t="s">
        <v>7849</v>
      </c>
      <c r="J3398" s="12" t="str">
        <f>HYPERLINK("https://www.boe.es/gazeta/dias/1807/11/06/pdfs/GMD-1807-99.pdf#page=9","Abrir facsímil")</f>
        <v>Abrir facsímil</v>
      </c>
      <c r="K3398" s="15" t="s">
        <v>22</v>
      </c>
    </row>
    <row r="3399" spans="1:11" ht="42" customHeight="1">
      <c r="A3399" s="4" t="s">
        <v>7850</v>
      </c>
      <c r="B3399" s="5" t="s">
        <v>7850</v>
      </c>
      <c r="C3399" s="5" t="s">
        <v>34</v>
      </c>
      <c r="D3399" s="5" t="s">
        <v>35</v>
      </c>
      <c r="E3399" s="5" t="s">
        <v>46</v>
      </c>
      <c r="F3399" s="9">
        <v>78</v>
      </c>
      <c r="G3399" s="9">
        <v>905</v>
      </c>
      <c r="H3399" s="5" t="s">
        <v>20</v>
      </c>
      <c r="I3399" s="5" t="s">
        <v>7851</v>
      </c>
      <c r="J3399" s="12" t="str">
        <f>HYPERLINK("https://www.boe.es/gazeta/dias/1807/09/01/pdfs/GMD-1807-78.pdf#page=9","Abrir facsímil")</f>
        <v>Abrir facsímil</v>
      </c>
      <c r="K3399" s="15" t="s">
        <v>22</v>
      </c>
    </row>
    <row r="3400" spans="1:11" ht="42" customHeight="1">
      <c r="A3400" s="4" t="s">
        <v>7852</v>
      </c>
      <c r="B3400" s="5" t="s">
        <v>7852</v>
      </c>
      <c r="C3400" s="5" t="s">
        <v>17</v>
      </c>
      <c r="D3400" s="5" t="s">
        <v>18</v>
      </c>
      <c r="E3400" s="5" t="s">
        <v>53</v>
      </c>
      <c r="F3400" s="9">
        <v>64</v>
      </c>
      <c r="G3400" s="9">
        <v>746</v>
      </c>
      <c r="H3400" s="5" t="s">
        <v>20</v>
      </c>
      <c r="I3400" s="5" t="s">
        <v>7853</v>
      </c>
      <c r="J3400" s="12" t="str">
        <f>HYPERLINK("https://www.boe.es/gazeta/dias/1807/07/21/pdfs/GMD-1807-64.pdf#page=8","Abrir facsímil")</f>
        <v>Abrir facsímil</v>
      </c>
      <c r="K3400" s="15" t="s">
        <v>22</v>
      </c>
    </row>
    <row r="3401" spans="1:11" ht="42" customHeight="1">
      <c r="A3401" s="4" t="s">
        <v>7854</v>
      </c>
      <c r="B3401" s="5" t="s">
        <v>7854</v>
      </c>
      <c r="C3401" s="5" t="s">
        <v>89</v>
      </c>
      <c r="D3401" s="5" t="s">
        <v>90</v>
      </c>
      <c r="E3401" s="5" t="s">
        <v>3230</v>
      </c>
      <c r="F3401" s="9">
        <v>27</v>
      </c>
      <c r="G3401" s="9">
        <v>328</v>
      </c>
      <c r="H3401" s="5" t="s">
        <v>20</v>
      </c>
      <c r="I3401" s="5" t="s">
        <v>7855</v>
      </c>
      <c r="J3401" s="12" t="str">
        <f>HYPERLINK("https://www.boe.es/gazeta/dias/1807/03/24/pdfs/GMD-1807-27.pdf#page=12","Abrir facsímil")</f>
        <v>Abrir facsímil</v>
      </c>
      <c r="K3401" s="15" t="s">
        <v>22</v>
      </c>
    </row>
    <row r="3402" spans="1:11" ht="42" customHeight="1">
      <c r="A3402" s="4" t="s">
        <v>7856</v>
      </c>
      <c r="B3402" s="5" t="s">
        <v>7856</v>
      </c>
      <c r="C3402" s="5" t="s">
        <v>69</v>
      </c>
      <c r="D3402" s="5" t="s">
        <v>70</v>
      </c>
      <c r="E3402" s="5" t="s">
        <v>71</v>
      </c>
      <c r="F3402" s="9">
        <v>35</v>
      </c>
      <c r="G3402" s="9" t="s">
        <v>197</v>
      </c>
      <c r="H3402" s="5" t="s">
        <v>20</v>
      </c>
      <c r="I3402" s="5" t="s">
        <v>7857</v>
      </c>
      <c r="J3402" s="12" t="str">
        <f>HYPERLINK("https://www.boe.es/gazeta/dias/1807/04/21/pdfs/C00001-00004.pdf#page=3","Abrir facsímil")</f>
        <v>Abrir facsímil</v>
      </c>
      <c r="K3402" s="15" t="s">
        <v>22</v>
      </c>
    </row>
    <row r="3403" spans="1:11" ht="42" customHeight="1">
      <c r="A3403" s="4" t="s">
        <v>7858</v>
      </c>
      <c r="B3403" s="5" t="s">
        <v>7859</v>
      </c>
      <c r="C3403" s="5" t="s">
        <v>34</v>
      </c>
      <c r="D3403" s="5" t="s">
        <v>35</v>
      </c>
      <c r="E3403" s="5" t="s">
        <v>259</v>
      </c>
      <c r="F3403" s="9">
        <v>3</v>
      </c>
      <c r="G3403" s="9">
        <v>27</v>
      </c>
      <c r="H3403" s="5" t="s">
        <v>20</v>
      </c>
      <c r="I3403" s="5" t="s">
        <v>7860</v>
      </c>
      <c r="J3403" s="12" t="str">
        <f>HYPERLINK("https://www.boe.es/gazeta/dias/1807/01/09/pdfs/GMD-1807-3.pdf#page=7","Abrir facsímil")</f>
        <v>Abrir facsímil</v>
      </c>
      <c r="K3403" s="15" t="s">
        <v>22</v>
      </c>
    </row>
    <row r="3404" spans="1:11" ht="42" customHeight="1">
      <c r="A3404" s="4" t="s">
        <v>7861</v>
      </c>
      <c r="B3404" s="5" t="s">
        <v>7861</v>
      </c>
      <c r="C3404" s="5" t="s">
        <v>34</v>
      </c>
      <c r="D3404" s="5" t="s">
        <v>35</v>
      </c>
      <c r="E3404" s="5" t="s">
        <v>245</v>
      </c>
      <c r="F3404" s="9">
        <v>97</v>
      </c>
      <c r="G3404" s="9">
        <v>1128</v>
      </c>
      <c r="H3404" s="5" t="s">
        <v>20</v>
      </c>
      <c r="I3404" s="5" t="s">
        <v>7862</v>
      </c>
      <c r="J3404" s="12" t="str">
        <f>HYPERLINK("https://www.boe.es/gazeta/dias/1807/10/30/pdfs/GMD-1807-97.pdf#page=8","Abrir facsímil")</f>
        <v>Abrir facsímil</v>
      </c>
      <c r="K3404" s="15" t="s">
        <v>22</v>
      </c>
    </row>
    <row r="3405" spans="1:11" ht="42" customHeight="1">
      <c r="A3405" s="4" t="s">
        <v>7863</v>
      </c>
      <c r="B3405" s="5" t="s">
        <v>7863</v>
      </c>
      <c r="C3405" s="5" t="s">
        <v>17</v>
      </c>
      <c r="D3405" s="5" t="s">
        <v>18</v>
      </c>
      <c r="E3405" s="5" t="s">
        <v>208</v>
      </c>
      <c r="F3405" s="9">
        <v>42</v>
      </c>
      <c r="G3405" s="9">
        <v>501</v>
      </c>
      <c r="H3405" s="5" t="s">
        <v>20</v>
      </c>
      <c r="I3405" s="5" t="s">
        <v>7864</v>
      </c>
      <c r="J3405" s="12" t="str">
        <f>HYPERLINK("https://www.boe.es/gazeta/dias/1807/05/15/pdfs/GMD-1807-42.pdf#page=7","Abrir facsímil")</f>
        <v>Abrir facsímil</v>
      </c>
      <c r="K3405" s="15" t="s">
        <v>22</v>
      </c>
    </row>
    <row r="3406" spans="1:11" ht="42" customHeight="1">
      <c r="A3406" s="4" t="s">
        <v>7865</v>
      </c>
      <c r="B3406" s="5" t="s">
        <v>7865</v>
      </c>
      <c r="C3406" s="5" t="s">
        <v>89</v>
      </c>
      <c r="D3406" s="5" t="s">
        <v>90</v>
      </c>
      <c r="E3406" s="5" t="s">
        <v>266</v>
      </c>
      <c r="F3406" s="9">
        <v>67</v>
      </c>
      <c r="G3406" s="9">
        <v>771</v>
      </c>
      <c r="H3406" s="5" t="s">
        <v>20</v>
      </c>
      <c r="I3406" s="5" t="s">
        <v>7866</v>
      </c>
      <c r="J3406" s="12" t="str">
        <f>HYPERLINK("https://www.boe.es/gazeta/dias/1807/07/28/pdfs/GMD-1807-67.pdf#page=7","Abrir facsímil")</f>
        <v>Abrir facsímil</v>
      </c>
      <c r="K3406" s="15" t="s">
        <v>22</v>
      </c>
    </row>
    <row r="3407" spans="1:11" ht="42" customHeight="1">
      <c r="A3407" s="4" t="s">
        <v>7867</v>
      </c>
      <c r="B3407" s="5" t="s">
        <v>7867</v>
      </c>
      <c r="C3407" s="5" t="s">
        <v>89</v>
      </c>
      <c r="D3407" s="5" t="s">
        <v>90</v>
      </c>
      <c r="E3407" s="5" t="s">
        <v>111</v>
      </c>
      <c r="F3407" s="9">
        <v>90</v>
      </c>
      <c r="G3407" s="9">
        <v>1047</v>
      </c>
      <c r="H3407" s="5" t="s">
        <v>20</v>
      </c>
      <c r="I3407" s="5" t="s">
        <v>7868</v>
      </c>
      <c r="J3407" s="12" t="str">
        <f>HYPERLINK("https://www.boe.es/gazeta/dias/1807/10/06/pdfs/GMD-1807-90.pdf#page=15","Abrir facsímil")</f>
        <v>Abrir facsímil</v>
      </c>
      <c r="K3407" s="15" t="s">
        <v>22</v>
      </c>
    </row>
    <row r="3408" spans="1:11" ht="42" customHeight="1">
      <c r="A3408" s="4" t="s">
        <v>7869</v>
      </c>
      <c r="B3408" s="5" t="s">
        <v>7869</v>
      </c>
      <c r="C3408" s="5" t="s">
        <v>34</v>
      </c>
      <c r="D3408" s="5" t="s">
        <v>35</v>
      </c>
      <c r="E3408" s="5" t="s">
        <v>215</v>
      </c>
      <c r="F3408" s="9">
        <v>5</v>
      </c>
      <c r="G3408" s="9">
        <v>51</v>
      </c>
      <c r="H3408" s="5" t="s">
        <v>20</v>
      </c>
      <c r="I3408" s="5" t="s">
        <v>7870</v>
      </c>
      <c r="J3408" s="12" t="str">
        <f>HYPERLINK("https://www.boe.es/gazeta/dias/1807/01/16/pdfs/GMD-1807-5.pdf#page=7","Abrir facsímil")</f>
        <v>Abrir facsímil</v>
      </c>
      <c r="K3408" s="15" t="s">
        <v>22</v>
      </c>
    </row>
    <row r="3409" spans="1:11" ht="42" customHeight="1">
      <c r="A3409" s="4" t="s">
        <v>7871</v>
      </c>
      <c r="B3409" s="5" t="s">
        <v>7872</v>
      </c>
      <c r="C3409" s="5" t="s">
        <v>17</v>
      </c>
      <c r="D3409" s="5" t="s">
        <v>18</v>
      </c>
      <c r="E3409" s="5" t="s">
        <v>131</v>
      </c>
      <c r="F3409" s="9">
        <v>28</v>
      </c>
      <c r="G3409" s="9">
        <v>334</v>
      </c>
      <c r="H3409" s="5" t="s">
        <v>20</v>
      </c>
      <c r="I3409" s="5" t="s">
        <v>7873</v>
      </c>
      <c r="J3409" s="12" t="str">
        <f>HYPERLINK("https://www.boe.es/gazeta/dias/1807/03/27/pdfs/GMD-1807-28.pdf#page=6","Abrir facsímil")</f>
        <v>Abrir facsímil</v>
      </c>
      <c r="K3409" s="15" t="s">
        <v>22</v>
      </c>
    </row>
    <row r="3410" spans="1:11" ht="42" customHeight="1">
      <c r="A3410" s="4" t="s">
        <v>7874</v>
      </c>
      <c r="B3410" s="5" t="s">
        <v>7874</v>
      </c>
      <c r="C3410" s="5" t="s">
        <v>34</v>
      </c>
      <c r="D3410" s="5" t="s">
        <v>35</v>
      </c>
      <c r="E3410" s="5" t="s">
        <v>83</v>
      </c>
      <c r="F3410" s="9">
        <v>50</v>
      </c>
      <c r="G3410" s="9">
        <v>595</v>
      </c>
      <c r="H3410" s="5" t="s">
        <v>20</v>
      </c>
      <c r="I3410" s="5" t="s">
        <v>7875</v>
      </c>
      <c r="J3410" s="12" t="str">
        <f>HYPERLINK("https://www.boe.es/gazeta/dias/1807/06/12/pdfs/GMD-1807-50.pdf#page=9","Abrir facsímil")</f>
        <v>Abrir facsímil</v>
      </c>
      <c r="K3410" s="15" t="s">
        <v>22</v>
      </c>
    </row>
    <row r="3411" spans="1:11" ht="42" customHeight="1">
      <c r="A3411" s="4" t="s">
        <v>7876</v>
      </c>
      <c r="B3411" s="5" t="s">
        <v>7877</v>
      </c>
      <c r="C3411" s="5" t="s">
        <v>34</v>
      </c>
      <c r="D3411" s="5" t="s">
        <v>35</v>
      </c>
      <c r="E3411" s="5" t="s">
        <v>471</v>
      </c>
      <c r="F3411" s="9">
        <v>51</v>
      </c>
      <c r="G3411" s="9">
        <v>605</v>
      </c>
      <c r="H3411" s="5" t="s">
        <v>20</v>
      </c>
      <c r="I3411" s="5" t="s">
        <v>7878</v>
      </c>
      <c r="J3411" s="12" t="str">
        <f>HYPERLINK("https://www.boe.es/gazeta/dias/1807/06/16/pdfs/GMD-1807-51.pdf#page=7","Abrir facsímil")</f>
        <v>Abrir facsímil</v>
      </c>
      <c r="K3411" s="15" t="s">
        <v>22</v>
      </c>
    </row>
    <row r="3412" spans="1:11" ht="42" customHeight="1">
      <c r="A3412" s="4" t="s">
        <v>7879</v>
      </c>
      <c r="B3412" s="5" t="s">
        <v>7880</v>
      </c>
      <c r="C3412" s="5" t="s">
        <v>34</v>
      </c>
      <c r="D3412" s="5" t="s">
        <v>35</v>
      </c>
      <c r="E3412" s="5" t="s">
        <v>62</v>
      </c>
      <c r="F3412" s="9">
        <v>68</v>
      </c>
      <c r="G3412" s="9">
        <v>783</v>
      </c>
      <c r="H3412" s="5" t="s">
        <v>20</v>
      </c>
      <c r="I3412" s="5" t="s">
        <v>7881</v>
      </c>
      <c r="J3412" s="12" t="str">
        <f>HYPERLINK("https://www.boe.es/gazeta/dias/1807/07/31/pdfs/GMD-1807-68.pdf#page=7","Abrir facsímil")</f>
        <v>Abrir facsímil</v>
      </c>
      <c r="K3412" s="15" t="s">
        <v>22</v>
      </c>
    </row>
    <row r="3413" spans="1:11" ht="42" customHeight="1">
      <c r="A3413" s="4" t="s">
        <v>7882</v>
      </c>
      <c r="B3413" s="5" t="s">
        <v>7883</v>
      </c>
      <c r="C3413" s="5" t="s">
        <v>28</v>
      </c>
      <c r="D3413" s="5" t="s">
        <v>29</v>
      </c>
      <c r="E3413" s="5" t="s">
        <v>346</v>
      </c>
      <c r="F3413" s="9">
        <v>21</v>
      </c>
      <c r="G3413" s="9">
        <v>244</v>
      </c>
      <c r="H3413" s="5" t="s">
        <v>20</v>
      </c>
      <c r="I3413" s="5" t="s">
        <v>7884</v>
      </c>
      <c r="J3413" s="12" t="str">
        <f>HYPERLINK("https://www.boe.es/gazeta/dias/1807/03/03/pdfs/GMD-1807-21.pdf#page=8","Abrir facsímil")</f>
        <v>Abrir facsímil</v>
      </c>
      <c r="K3413" s="15" t="s">
        <v>22</v>
      </c>
    </row>
    <row r="3414" spans="1:11" ht="42" customHeight="1">
      <c r="A3414" s="4" t="s">
        <v>7885</v>
      </c>
      <c r="B3414" s="5" t="s">
        <v>7886</v>
      </c>
      <c r="C3414" s="5" t="s">
        <v>34</v>
      </c>
      <c r="D3414" s="5" t="s">
        <v>35</v>
      </c>
      <c r="E3414" s="5" t="s">
        <v>36</v>
      </c>
      <c r="F3414" s="9">
        <v>36</v>
      </c>
      <c r="G3414" s="9">
        <v>430</v>
      </c>
      <c r="H3414" s="5" t="s">
        <v>20</v>
      </c>
      <c r="I3414" s="5" t="s">
        <v>7887</v>
      </c>
      <c r="J3414" s="12" t="str">
        <f>HYPERLINK("https://www.boe.es/gazeta/dias/1807/04/24/pdfs/GMD-1807-36.pdf#page=10","Abrir facsímil")</f>
        <v>Abrir facsímil</v>
      </c>
      <c r="K3414" s="15" t="s">
        <v>22</v>
      </c>
    </row>
    <row r="3415" spans="1:11" ht="42" customHeight="1">
      <c r="A3415" s="4" t="s">
        <v>7885</v>
      </c>
      <c r="B3415" s="5" t="s">
        <v>7886</v>
      </c>
      <c r="C3415" s="5" t="s">
        <v>89</v>
      </c>
      <c r="D3415" s="5" t="s">
        <v>90</v>
      </c>
      <c r="E3415" s="5" t="s">
        <v>620</v>
      </c>
      <c r="F3415" s="9">
        <v>84</v>
      </c>
      <c r="G3415" s="9">
        <v>984</v>
      </c>
      <c r="H3415" s="5" t="s">
        <v>20</v>
      </c>
      <c r="I3415" s="5" t="s">
        <v>7888</v>
      </c>
      <c r="J3415" s="12" t="str">
        <f>HYPERLINK("https://www.boe.es/gazeta/dias/1807/09/22/pdfs/GMD-1807-84.pdf#page=12","Abrir facsímil")</f>
        <v>Abrir facsímil</v>
      </c>
      <c r="K3415" s="15" t="s">
        <v>22</v>
      </c>
    </row>
    <row r="3416" spans="1:11" ht="42" customHeight="1">
      <c r="A3416" s="4" t="s">
        <v>7889</v>
      </c>
      <c r="B3416" s="5" t="s">
        <v>7890</v>
      </c>
      <c r="C3416" s="5" t="s">
        <v>34</v>
      </c>
      <c r="D3416" s="5" t="s">
        <v>35</v>
      </c>
      <c r="E3416" s="5" t="s">
        <v>393</v>
      </c>
      <c r="F3416" s="9">
        <v>15</v>
      </c>
      <c r="G3416" s="9">
        <v>172</v>
      </c>
      <c r="H3416" s="5" t="s">
        <v>20</v>
      </c>
      <c r="I3416" s="5" t="s">
        <v>7891</v>
      </c>
      <c r="J3416" s="12" t="str">
        <f>HYPERLINK("https://www.boe.es/gazeta/dias/1807/02/13/pdfs/GMD-1807-15.pdf#page=8","Abrir facsímil")</f>
        <v>Abrir facsímil</v>
      </c>
      <c r="K3416" s="15" t="s">
        <v>22</v>
      </c>
    </row>
    <row r="3417" spans="1:11" ht="42" customHeight="1">
      <c r="A3417" s="4" t="s">
        <v>7892</v>
      </c>
      <c r="B3417" s="5" t="s">
        <v>7893</v>
      </c>
      <c r="C3417" s="5" t="s">
        <v>49</v>
      </c>
      <c r="D3417" s="5" t="s">
        <v>50</v>
      </c>
      <c r="E3417" s="5" t="s">
        <v>183</v>
      </c>
      <c r="F3417" s="9">
        <v>1</v>
      </c>
      <c r="G3417" s="9">
        <v>4</v>
      </c>
      <c r="H3417" s="5" t="s">
        <v>20</v>
      </c>
      <c r="I3417" s="5" t="s">
        <v>7894</v>
      </c>
      <c r="J3417" s="12" t="str">
        <f>HYPERLINK("https://www.boe.es/gazeta/dias/1807/01/02/pdfs/GMD-1807-1.pdf#page=4","Abrir facsímil")</f>
        <v>Abrir facsímil</v>
      </c>
      <c r="K3417" s="15" t="s">
        <v>22</v>
      </c>
    </row>
    <row r="3418" spans="1:11" ht="42" customHeight="1">
      <c r="A3418" s="4" t="s">
        <v>7895</v>
      </c>
      <c r="B3418" s="5" t="s">
        <v>7896</v>
      </c>
      <c r="C3418" s="5" t="s">
        <v>89</v>
      </c>
      <c r="D3418" s="5" t="s">
        <v>90</v>
      </c>
      <c r="E3418" s="5" t="s">
        <v>65</v>
      </c>
      <c r="F3418" s="9">
        <v>52</v>
      </c>
      <c r="G3418" s="9">
        <v>626</v>
      </c>
      <c r="H3418" s="5" t="s">
        <v>20</v>
      </c>
      <c r="I3418" s="5" t="s">
        <v>7897</v>
      </c>
      <c r="J3418" s="12" t="str">
        <f>HYPERLINK("https://www.boe.es/gazeta/dias/1807/06/19/pdfs/GMD-1807-52.pdf#page=16","Abrir facsímil")</f>
        <v>Abrir facsímil</v>
      </c>
      <c r="K3418" s="15" t="s">
        <v>22</v>
      </c>
    </row>
    <row r="3419" spans="1:11" ht="42" customHeight="1">
      <c r="A3419" s="4" t="s">
        <v>7898</v>
      </c>
      <c r="B3419" s="5" t="s">
        <v>7899</v>
      </c>
      <c r="C3419" s="5" t="s">
        <v>17</v>
      </c>
      <c r="D3419" s="5" t="s">
        <v>18</v>
      </c>
      <c r="E3419" s="5" t="s">
        <v>98</v>
      </c>
      <c r="F3419" s="9">
        <v>34</v>
      </c>
      <c r="G3419" s="9">
        <v>404</v>
      </c>
      <c r="H3419" s="5" t="s">
        <v>20</v>
      </c>
      <c r="I3419" s="5" t="s">
        <v>7900</v>
      </c>
      <c r="J3419" s="12" t="str">
        <f>HYPERLINK("https://www.boe.es/gazeta/dias/1807/04/17/pdfs/GMD-1807-34.pdf#page=8","Abrir facsímil")</f>
        <v>Abrir facsímil</v>
      </c>
      <c r="K3419" s="15" t="s">
        <v>22</v>
      </c>
    </row>
    <row r="3420" spans="1:11" ht="42" customHeight="1">
      <c r="A3420" s="4" t="s">
        <v>7901</v>
      </c>
      <c r="B3420" s="5" t="s">
        <v>7902</v>
      </c>
      <c r="C3420" s="5" t="s">
        <v>28</v>
      </c>
      <c r="D3420" s="5" t="s">
        <v>29</v>
      </c>
      <c r="E3420" s="5" t="s">
        <v>406</v>
      </c>
      <c r="F3420" s="9">
        <v>82</v>
      </c>
      <c r="G3420" s="9">
        <v>956</v>
      </c>
      <c r="H3420" s="5" t="s">
        <v>20</v>
      </c>
      <c r="I3420" s="5" t="s">
        <v>7903</v>
      </c>
      <c r="J3420" s="12" t="str">
        <f>HYPERLINK("https://www.boe.es/gazeta/dias/1807/09/15/pdfs/GMD-1807-82.pdf#page=8","Abrir facsímil")</f>
        <v>Abrir facsímil</v>
      </c>
      <c r="K3420" s="15" t="s">
        <v>22</v>
      </c>
    </row>
    <row r="3421" spans="1:11" ht="42" customHeight="1">
      <c r="A3421" s="4" t="s">
        <v>7904</v>
      </c>
      <c r="B3421" s="5" t="s">
        <v>7905</v>
      </c>
      <c r="C3421" s="5" t="s">
        <v>34</v>
      </c>
      <c r="D3421" s="5" t="s">
        <v>35</v>
      </c>
      <c r="E3421" s="5" t="s">
        <v>208</v>
      </c>
      <c r="F3421" s="9">
        <v>42</v>
      </c>
      <c r="G3421" s="9">
        <v>501</v>
      </c>
      <c r="H3421" s="5" t="s">
        <v>20</v>
      </c>
      <c r="I3421" s="5" t="s">
        <v>7906</v>
      </c>
      <c r="J3421" s="12" t="str">
        <f>HYPERLINK("https://www.boe.es/gazeta/dias/1807/05/15/pdfs/GMD-1807-42.pdf#page=7","Abrir facsímil")</f>
        <v>Abrir facsímil</v>
      </c>
      <c r="K3421" s="15" t="s">
        <v>22</v>
      </c>
    </row>
    <row r="3422" spans="1:11" ht="42" customHeight="1">
      <c r="A3422" s="4" t="s">
        <v>7907</v>
      </c>
      <c r="B3422" s="5" t="s">
        <v>7908</v>
      </c>
      <c r="C3422" s="5" t="s">
        <v>28</v>
      </c>
      <c r="D3422" s="5" t="s">
        <v>29</v>
      </c>
      <c r="E3422" s="5" t="s">
        <v>350</v>
      </c>
      <c r="F3422" s="9">
        <v>112</v>
      </c>
      <c r="G3422" s="9">
        <v>1310</v>
      </c>
      <c r="H3422" s="5" t="s">
        <v>20</v>
      </c>
      <c r="I3422" s="5" t="s">
        <v>7909</v>
      </c>
      <c r="J3422" s="12" t="str">
        <f>HYPERLINK("https://www.boe.es/gazeta/dias/1807/12/18/pdfs/GMD-1807-112.pdf#page=10","Abrir facsímil")</f>
        <v>Abrir facsímil</v>
      </c>
      <c r="K3422" s="15" t="s">
        <v>22</v>
      </c>
    </row>
    <row r="3423" spans="1:11" ht="42" customHeight="1">
      <c r="A3423" s="4" t="s">
        <v>7910</v>
      </c>
      <c r="B3423" s="5" t="s">
        <v>7911</v>
      </c>
      <c r="C3423" s="5" t="s">
        <v>34</v>
      </c>
      <c r="D3423" s="5" t="s">
        <v>35</v>
      </c>
      <c r="E3423" s="5" t="s">
        <v>179</v>
      </c>
      <c r="F3423" s="9">
        <v>100</v>
      </c>
      <c r="G3423" s="9">
        <v>1164</v>
      </c>
      <c r="H3423" s="5" t="s">
        <v>20</v>
      </c>
      <c r="I3423" s="5" t="s">
        <v>7912</v>
      </c>
      <c r="J3423" s="12" t="str">
        <f>HYPERLINK("https://www.boe.es/gazeta/dias/1807/11/10/pdfs/GMD-1807-100.pdf#page=8","Abrir facsímil")</f>
        <v>Abrir facsímil</v>
      </c>
      <c r="K3423" s="15" t="s">
        <v>22</v>
      </c>
    </row>
    <row r="3424" spans="1:11" ht="42" customHeight="1">
      <c r="A3424" s="4" t="s">
        <v>7913</v>
      </c>
      <c r="B3424" s="5" t="s">
        <v>7914</v>
      </c>
      <c r="C3424" s="5" t="s">
        <v>17</v>
      </c>
      <c r="D3424" s="5" t="s">
        <v>18</v>
      </c>
      <c r="E3424" s="5" t="s">
        <v>208</v>
      </c>
      <c r="F3424" s="9">
        <v>42</v>
      </c>
      <c r="G3424" s="9">
        <v>501</v>
      </c>
      <c r="H3424" s="5" t="s">
        <v>20</v>
      </c>
      <c r="I3424" s="5" t="s">
        <v>7915</v>
      </c>
      <c r="J3424" s="12" t="str">
        <f>HYPERLINK("https://www.boe.es/gazeta/dias/1807/05/15/pdfs/GMD-1807-42.pdf#page=7","Abrir facsímil")</f>
        <v>Abrir facsímil</v>
      </c>
      <c r="K3424" s="15" t="s">
        <v>22</v>
      </c>
    </row>
    <row r="3425" spans="1:11" ht="42" customHeight="1">
      <c r="A3425" s="4" t="s">
        <v>7916</v>
      </c>
      <c r="B3425" s="5" t="s">
        <v>7917</v>
      </c>
      <c r="C3425" s="5" t="s">
        <v>69</v>
      </c>
      <c r="D3425" s="5" t="s">
        <v>70</v>
      </c>
      <c r="E3425" s="5" t="s">
        <v>71</v>
      </c>
      <c r="F3425" s="9">
        <v>35</v>
      </c>
      <c r="G3425" s="9" t="s">
        <v>72</v>
      </c>
      <c r="H3425" s="5" t="s">
        <v>20</v>
      </c>
      <c r="I3425" s="5" t="s">
        <v>7918</v>
      </c>
      <c r="J3425" s="12" t="str">
        <f>HYPERLINK("https://www.boe.es/gazeta/dias/1807/04/21/pdfs/C00001-00004.pdf#page=1","Abrir facsímil")</f>
        <v>Abrir facsímil</v>
      </c>
      <c r="K3425" s="15" t="s">
        <v>22</v>
      </c>
    </row>
    <row r="3426" spans="1:11" ht="42" customHeight="1">
      <c r="A3426" s="4" t="s">
        <v>7919</v>
      </c>
      <c r="B3426" s="5" t="s">
        <v>7920</v>
      </c>
      <c r="C3426" s="5" t="s">
        <v>49</v>
      </c>
      <c r="D3426" s="5" t="s">
        <v>50</v>
      </c>
      <c r="E3426" s="5" t="s">
        <v>266</v>
      </c>
      <c r="F3426" s="9">
        <v>67</v>
      </c>
      <c r="G3426" s="9">
        <v>770</v>
      </c>
      <c r="H3426" s="5" t="s">
        <v>20</v>
      </c>
      <c r="I3426" s="5" t="s">
        <v>7921</v>
      </c>
      <c r="J3426" s="12" t="str">
        <f>HYPERLINK("https://www.boe.es/gazeta/dias/1807/07/28/pdfs/GMD-1807-67.pdf#page=6","Abrir facsímil")</f>
        <v>Abrir facsímil</v>
      </c>
      <c r="K3426" s="15" t="s">
        <v>22</v>
      </c>
    </row>
    <row r="3427" spans="1:11" ht="42" customHeight="1">
      <c r="A3427" s="4" t="s">
        <v>7922</v>
      </c>
      <c r="B3427" s="5" t="s">
        <v>7922</v>
      </c>
      <c r="C3427" s="5" t="s">
        <v>28</v>
      </c>
      <c r="D3427" s="5" t="s">
        <v>29</v>
      </c>
      <c r="E3427" s="5" t="s">
        <v>156</v>
      </c>
      <c r="F3427" s="9">
        <v>74</v>
      </c>
      <c r="G3427" s="9">
        <v>857</v>
      </c>
      <c r="H3427" s="5" t="s">
        <v>20</v>
      </c>
      <c r="I3427" s="5" t="s">
        <v>7923</v>
      </c>
      <c r="J3427" s="12" t="str">
        <f>HYPERLINK("https://www.boe.es/gazeta/dias/1807/08/18/pdfs/GMD-1807-74.pdf#page=9","Abrir facsímil")</f>
        <v>Abrir facsímil</v>
      </c>
      <c r="K3427" s="15" t="s">
        <v>22</v>
      </c>
    </row>
    <row r="3428" spans="1:11" ht="42" customHeight="1">
      <c r="A3428" s="4" t="s">
        <v>7924</v>
      </c>
      <c r="B3428" s="5" t="s">
        <v>7925</v>
      </c>
      <c r="C3428" s="5" t="s">
        <v>34</v>
      </c>
      <c r="D3428" s="5" t="s">
        <v>35</v>
      </c>
      <c r="E3428" s="5" t="s">
        <v>595</v>
      </c>
      <c r="F3428" s="9">
        <v>59</v>
      </c>
      <c r="G3428" s="9">
        <v>703</v>
      </c>
      <c r="H3428" s="5" t="s">
        <v>20</v>
      </c>
      <c r="I3428" s="5" t="s">
        <v>7926</v>
      </c>
      <c r="J3428" s="12" t="str">
        <f>HYPERLINK("https://www.boe.es/gazeta/dias/1807/07/10/pdfs/GMD-1807-59.pdf#page=9","Abrir facsímil")</f>
        <v>Abrir facsímil</v>
      </c>
      <c r="K3428" s="15" t="s">
        <v>22</v>
      </c>
    </row>
    <row r="3429" spans="1:11" ht="42" customHeight="1">
      <c r="A3429" s="4" t="s">
        <v>7927</v>
      </c>
      <c r="B3429" s="5" t="s">
        <v>7928</v>
      </c>
      <c r="C3429" s="5" t="s">
        <v>34</v>
      </c>
      <c r="D3429" s="5" t="s">
        <v>35</v>
      </c>
      <c r="E3429" s="5" t="s">
        <v>51</v>
      </c>
      <c r="F3429" s="9">
        <v>62</v>
      </c>
      <c r="G3429" s="9">
        <v>732</v>
      </c>
      <c r="H3429" s="5" t="s">
        <v>20</v>
      </c>
      <c r="I3429" s="5" t="s">
        <v>7929</v>
      </c>
      <c r="J3429" s="12" t="str">
        <f>HYPERLINK("https://www.boe.es/gazeta/dias/1807/07/17/pdfs/GMD-1807-62.pdf#page=6","Abrir facsímil")</f>
        <v>Abrir facsímil</v>
      </c>
      <c r="K3429" s="15" t="s">
        <v>22</v>
      </c>
    </row>
    <row r="3430" spans="1:11" ht="42" customHeight="1">
      <c r="A3430" s="4" t="s">
        <v>7930</v>
      </c>
      <c r="B3430" s="5" t="s">
        <v>7931</v>
      </c>
      <c r="C3430" s="5" t="s">
        <v>34</v>
      </c>
      <c r="D3430" s="5" t="s">
        <v>35</v>
      </c>
      <c r="E3430" s="5" t="s">
        <v>179</v>
      </c>
      <c r="F3430" s="9">
        <v>100</v>
      </c>
      <c r="G3430" s="9">
        <v>1164</v>
      </c>
      <c r="H3430" s="5" t="s">
        <v>20</v>
      </c>
      <c r="I3430" s="5" t="s">
        <v>7932</v>
      </c>
      <c r="J3430" s="12" t="str">
        <f>HYPERLINK("https://www.boe.es/gazeta/dias/1807/11/10/pdfs/GMD-1807-100.pdf#page=8","Abrir facsímil")</f>
        <v>Abrir facsímil</v>
      </c>
      <c r="K3430" s="15" t="s">
        <v>22</v>
      </c>
    </row>
    <row r="3431" spans="1:11" ht="42" customHeight="1">
      <c r="A3431" s="4" t="s">
        <v>7933</v>
      </c>
      <c r="B3431" s="5" t="s">
        <v>7934</v>
      </c>
      <c r="C3431" s="5" t="s">
        <v>28</v>
      </c>
      <c r="D3431" s="5" t="s">
        <v>29</v>
      </c>
      <c r="E3431" s="5" t="s">
        <v>418</v>
      </c>
      <c r="F3431" s="9">
        <v>4</v>
      </c>
      <c r="G3431" s="9">
        <v>40</v>
      </c>
      <c r="H3431" s="5" t="s">
        <v>20</v>
      </c>
      <c r="I3431" s="5" t="s">
        <v>7935</v>
      </c>
      <c r="J3431" s="12" t="str">
        <f>HYPERLINK("https://www.boe.es/gazeta/dias/1807/01/13/pdfs/GMD-1807-4.pdf#page=8","Abrir facsímil")</f>
        <v>Abrir facsímil</v>
      </c>
      <c r="K3431" s="15" t="s">
        <v>22</v>
      </c>
    </row>
    <row r="3432" spans="1:11" ht="42" customHeight="1">
      <c r="A3432" s="4" t="s">
        <v>7936</v>
      </c>
      <c r="B3432" s="5" t="s">
        <v>7937</v>
      </c>
      <c r="C3432" s="5" t="s">
        <v>24</v>
      </c>
      <c r="D3432" s="5" t="s">
        <v>18</v>
      </c>
      <c r="E3432" s="5" t="s">
        <v>104</v>
      </c>
      <c r="F3432" s="9">
        <v>25</v>
      </c>
      <c r="G3432" s="9">
        <v>302</v>
      </c>
      <c r="H3432" s="5" t="s">
        <v>20</v>
      </c>
      <c r="I3432" s="5" t="s">
        <v>7938</v>
      </c>
      <c r="J3432" s="12" t="str">
        <f>HYPERLINK("https://www.boe.es/gazeta/dias/1807/03/17/pdfs/GMD-1807-25.pdf#page=10","Abrir facsímil")</f>
        <v>Abrir facsímil</v>
      </c>
      <c r="K3432" s="15" t="s">
        <v>22</v>
      </c>
    </row>
    <row r="3433" spans="1:11" ht="42" customHeight="1">
      <c r="A3433" s="4" t="s">
        <v>7936</v>
      </c>
      <c r="B3433" s="5" t="s">
        <v>7937</v>
      </c>
      <c r="C3433" s="5" t="s">
        <v>24</v>
      </c>
      <c r="D3433" s="5" t="s">
        <v>18</v>
      </c>
      <c r="E3433" s="5" t="s">
        <v>53</v>
      </c>
      <c r="F3433" s="9">
        <v>64</v>
      </c>
      <c r="G3433" s="9">
        <v>749</v>
      </c>
      <c r="H3433" s="5" t="s">
        <v>20</v>
      </c>
      <c r="I3433" s="5" t="s">
        <v>7939</v>
      </c>
      <c r="J3433" s="12" t="str">
        <f>HYPERLINK("https://www.boe.es/gazeta/dias/1807/07/21/pdfs/GMD-1807-64.pdf#page=11","Abrir facsímil")</f>
        <v>Abrir facsímil</v>
      </c>
      <c r="K3433" s="15" t="s">
        <v>22</v>
      </c>
    </row>
    <row r="3434" spans="1:11" ht="42" customHeight="1">
      <c r="A3434" s="4" t="s">
        <v>7936</v>
      </c>
      <c r="B3434" s="5" t="s">
        <v>7937</v>
      </c>
      <c r="C3434" s="5" t="s">
        <v>28</v>
      </c>
      <c r="D3434" s="5" t="s">
        <v>29</v>
      </c>
      <c r="E3434" s="5" t="s">
        <v>754</v>
      </c>
      <c r="F3434" s="9">
        <v>103</v>
      </c>
      <c r="G3434" s="9">
        <v>1203</v>
      </c>
      <c r="H3434" s="5" t="s">
        <v>20</v>
      </c>
      <c r="I3434" s="5" t="s">
        <v>7940</v>
      </c>
      <c r="J3434" s="12" t="str">
        <f>HYPERLINK("https://www.boe.es/gazeta/dias/1807/11/20/pdfs/GMD-1807-103.pdf#page=11","Abrir facsímil")</f>
        <v>Abrir facsímil</v>
      </c>
      <c r="K3434" s="15" t="s">
        <v>22</v>
      </c>
    </row>
    <row r="3435" spans="1:11" ht="42" customHeight="1">
      <c r="A3435" s="4" t="s">
        <v>7941</v>
      </c>
      <c r="B3435" s="5" t="s">
        <v>7942</v>
      </c>
      <c r="C3435" s="5" t="s">
        <v>34</v>
      </c>
      <c r="D3435" s="5" t="s">
        <v>35</v>
      </c>
      <c r="E3435" s="5" t="s">
        <v>390</v>
      </c>
      <c r="F3435" s="9">
        <v>24</v>
      </c>
      <c r="G3435" s="9">
        <v>288</v>
      </c>
      <c r="H3435" s="5" t="s">
        <v>20</v>
      </c>
      <c r="I3435" s="5" t="s">
        <v>7943</v>
      </c>
      <c r="J3435" s="12" t="str">
        <f>HYPERLINK("https://www.boe.es/gazeta/dias/1807/03/13/pdfs/GMD-1807-24.pdf#page=12","Abrir facsímil")</f>
        <v>Abrir facsímil</v>
      </c>
      <c r="K3435" s="15" t="s">
        <v>22</v>
      </c>
    </row>
    <row r="3436" spans="1:11" ht="42" customHeight="1">
      <c r="A3436" s="4" t="s">
        <v>7944</v>
      </c>
      <c r="B3436" s="5" t="s">
        <v>7945</v>
      </c>
      <c r="C3436" s="5" t="s">
        <v>28</v>
      </c>
      <c r="D3436" s="5" t="s">
        <v>29</v>
      </c>
      <c r="E3436" s="5" t="s">
        <v>426</v>
      </c>
      <c r="F3436" s="9">
        <v>93</v>
      </c>
      <c r="G3436" s="9">
        <v>1082</v>
      </c>
      <c r="H3436" s="5" t="s">
        <v>20</v>
      </c>
      <c r="I3436" s="5" t="s">
        <v>7946</v>
      </c>
      <c r="J3436" s="12" t="str">
        <f>HYPERLINK("https://www.boe.es/gazeta/dias/1807/10/16/pdfs/GMD-1807-93.pdf#page=10","Abrir facsímil")</f>
        <v>Abrir facsímil</v>
      </c>
      <c r="K3436" s="15" t="s">
        <v>22</v>
      </c>
    </row>
    <row r="3437" spans="1:11" ht="42" customHeight="1">
      <c r="A3437" s="4" t="s">
        <v>7947</v>
      </c>
      <c r="B3437" s="5" t="s">
        <v>7948</v>
      </c>
      <c r="C3437" s="5" t="s">
        <v>24</v>
      </c>
      <c r="D3437" s="5" t="s">
        <v>18</v>
      </c>
      <c r="E3437" s="5" t="s">
        <v>81</v>
      </c>
      <c r="F3437" s="9">
        <v>49</v>
      </c>
      <c r="G3437" s="9">
        <v>585</v>
      </c>
      <c r="H3437" s="5" t="s">
        <v>20</v>
      </c>
      <c r="I3437" s="5" t="s">
        <v>7949</v>
      </c>
      <c r="J3437" s="12" t="str">
        <f>HYPERLINK("https://www.boe.es/gazeta/dias/1807/06/09/pdfs/GMD-1807-49.pdf#page=11","Abrir facsímil")</f>
        <v>Abrir facsímil</v>
      </c>
      <c r="K3437" s="15" t="s">
        <v>22</v>
      </c>
    </row>
    <row r="3438" spans="1:11" ht="42" customHeight="1">
      <c r="A3438" s="4" t="s">
        <v>7947</v>
      </c>
      <c r="B3438" s="5" t="s">
        <v>7948</v>
      </c>
      <c r="C3438" s="5" t="s">
        <v>17</v>
      </c>
      <c r="D3438" s="5" t="s">
        <v>18</v>
      </c>
      <c r="E3438" s="5" t="s">
        <v>581</v>
      </c>
      <c r="F3438" s="9">
        <v>71</v>
      </c>
      <c r="G3438" s="9">
        <v>815</v>
      </c>
      <c r="H3438" s="5" t="s">
        <v>20</v>
      </c>
      <c r="I3438" s="5" t="s">
        <v>7950</v>
      </c>
      <c r="J3438" s="12" t="str">
        <f>HYPERLINK("https://www.boe.es/gazeta/dias/1807/08/07/pdfs/GMD-1807-71.pdf#page=7","Abrir facsímil")</f>
        <v>Abrir facsímil</v>
      </c>
      <c r="K3438" s="15" t="s">
        <v>22</v>
      </c>
    </row>
    <row r="3439" spans="1:11" ht="42" customHeight="1">
      <c r="A3439" s="4" t="s">
        <v>7951</v>
      </c>
      <c r="B3439" s="5" t="s">
        <v>7952</v>
      </c>
      <c r="C3439" s="5" t="s">
        <v>34</v>
      </c>
      <c r="D3439" s="5" t="s">
        <v>35</v>
      </c>
      <c r="E3439" s="5" t="s">
        <v>426</v>
      </c>
      <c r="F3439" s="9">
        <v>93</v>
      </c>
      <c r="G3439" s="9">
        <v>1080</v>
      </c>
      <c r="H3439" s="5" t="s">
        <v>20</v>
      </c>
      <c r="I3439" s="5" t="s">
        <v>7953</v>
      </c>
      <c r="J3439" s="12" t="str">
        <f>HYPERLINK("https://www.boe.es/gazeta/dias/1807/10/16/pdfs/GMD-1807-93.pdf#page=8","Abrir facsímil")</f>
        <v>Abrir facsímil</v>
      </c>
      <c r="K3439" s="15" t="s">
        <v>22</v>
      </c>
    </row>
    <row r="3440" spans="1:11" ht="42" customHeight="1">
      <c r="A3440" s="4" t="s">
        <v>7954</v>
      </c>
      <c r="B3440" s="5" t="s">
        <v>7955</v>
      </c>
      <c r="C3440" s="5" t="s">
        <v>28</v>
      </c>
      <c r="D3440" s="5" t="s">
        <v>29</v>
      </c>
      <c r="E3440" s="5" t="s">
        <v>393</v>
      </c>
      <c r="F3440" s="9">
        <v>15</v>
      </c>
      <c r="G3440" s="9">
        <v>173</v>
      </c>
      <c r="H3440" s="5" t="s">
        <v>20</v>
      </c>
      <c r="I3440" s="5" t="s">
        <v>7956</v>
      </c>
      <c r="J3440" s="12" t="str">
        <f>HYPERLINK("https://www.boe.es/gazeta/dias/1807/02/13/pdfs/GMD-1807-15.pdf#page=9","Abrir facsímil")</f>
        <v>Abrir facsímil</v>
      </c>
      <c r="K3440" s="15" t="s">
        <v>22</v>
      </c>
    </row>
    <row r="3441" spans="1:11" ht="42" customHeight="1">
      <c r="A3441" s="4" t="s">
        <v>7957</v>
      </c>
      <c r="B3441" s="5" t="s">
        <v>7958</v>
      </c>
      <c r="C3441" s="5" t="s">
        <v>17</v>
      </c>
      <c r="D3441" s="5" t="s">
        <v>18</v>
      </c>
      <c r="E3441" s="5" t="s">
        <v>42</v>
      </c>
      <c r="F3441" s="9">
        <v>31</v>
      </c>
      <c r="G3441" s="9">
        <v>369</v>
      </c>
      <c r="H3441" s="5" t="s">
        <v>20</v>
      </c>
      <c r="I3441" s="5" t="s">
        <v>7959</v>
      </c>
      <c r="J3441" s="12" t="str">
        <f>HYPERLINK("https://www.boe.es/gazeta/dias/1807/04/07/pdfs/GMD-1807-31.pdf#page=9","Abrir facsímil")</f>
        <v>Abrir facsímil</v>
      </c>
      <c r="K3441" s="15" t="s">
        <v>22</v>
      </c>
    </row>
    <row r="3442" spans="1:11" ht="42" customHeight="1">
      <c r="A3442" s="4" t="s">
        <v>7960</v>
      </c>
      <c r="B3442" s="5" t="s">
        <v>7961</v>
      </c>
      <c r="C3442" s="5" t="s">
        <v>34</v>
      </c>
      <c r="D3442" s="5" t="s">
        <v>35</v>
      </c>
      <c r="E3442" s="5" t="s">
        <v>567</v>
      </c>
      <c r="F3442" s="9">
        <v>55</v>
      </c>
      <c r="G3442" s="9">
        <v>659</v>
      </c>
      <c r="H3442" s="5" t="s">
        <v>20</v>
      </c>
      <c r="I3442" s="5" t="s">
        <v>7962</v>
      </c>
      <c r="J3442" s="12" t="str">
        <f>HYPERLINK("https://www.boe.es/gazeta/dias/1807/06/30/pdfs/GMD-1807-55.pdf#page=9","Abrir facsímil")</f>
        <v>Abrir facsímil</v>
      </c>
      <c r="K3442" s="15" t="s">
        <v>22</v>
      </c>
    </row>
    <row r="3443" spans="1:11" ht="42" customHeight="1">
      <c r="A3443" s="4" t="s">
        <v>7963</v>
      </c>
      <c r="B3443" s="5" t="s">
        <v>7964</v>
      </c>
      <c r="C3443" s="5" t="s">
        <v>34</v>
      </c>
      <c r="D3443" s="5" t="s">
        <v>35</v>
      </c>
      <c r="E3443" s="5" t="s">
        <v>139</v>
      </c>
      <c r="F3443" s="9">
        <v>110</v>
      </c>
      <c r="G3443" s="9">
        <v>1284</v>
      </c>
      <c r="H3443" s="5" t="s">
        <v>20</v>
      </c>
      <c r="I3443" s="5" t="s">
        <v>7965</v>
      </c>
      <c r="J3443" s="12" t="str">
        <f>HYPERLINK("https://www.boe.es/gazeta/dias/1807/12/11/pdfs/GMD-1807-110.pdf#page=8","Abrir facsímil")</f>
        <v>Abrir facsímil</v>
      </c>
      <c r="K3443" s="15" t="s">
        <v>22</v>
      </c>
    </row>
    <row r="3444" spans="1:11" ht="42" customHeight="1">
      <c r="A3444" s="4" t="s">
        <v>7966</v>
      </c>
      <c r="B3444" s="5" t="s">
        <v>7967</v>
      </c>
      <c r="C3444" s="5" t="s">
        <v>28</v>
      </c>
      <c r="D3444" s="5" t="s">
        <v>29</v>
      </c>
      <c r="E3444" s="5" t="s">
        <v>620</v>
      </c>
      <c r="F3444" s="9">
        <v>84</v>
      </c>
      <c r="G3444" s="9">
        <v>982</v>
      </c>
      <c r="H3444" s="5" t="s">
        <v>20</v>
      </c>
      <c r="I3444" s="5" t="s">
        <v>7968</v>
      </c>
      <c r="J3444" s="12" t="str">
        <f>HYPERLINK("https://www.boe.es/gazeta/dias/1807/09/22/pdfs/GMD-1807-84.pdf#page=10","Abrir facsímil")</f>
        <v>Abrir facsímil</v>
      </c>
      <c r="K3444" s="15" t="s">
        <v>22</v>
      </c>
    </row>
    <row r="3445" spans="1:11" ht="42" customHeight="1">
      <c r="A3445" s="4" t="s">
        <v>7969</v>
      </c>
      <c r="B3445" s="5" t="s">
        <v>7970</v>
      </c>
      <c r="C3445" s="5" t="s">
        <v>17</v>
      </c>
      <c r="D3445" s="5" t="s">
        <v>18</v>
      </c>
      <c r="E3445" s="5" t="s">
        <v>156</v>
      </c>
      <c r="F3445" s="9">
        <v>74</v>
      </c>
      <c r="G3445" s="9">
        <v>856</v>
      </c>
      <c r="H3445" s="5" t="s">
        <v>20</v>
      </c>
      <c r="I3445" s="5" t="s">
        <v>7971</v>
      </c>
      <c r="J3445" s="12" t="str">
        <f>HYPERLINK("https://www.boe.es/gazeta/dias/1807/08/18/pdfs/GMD-1807-74.pdf#page=8","Abrir facsímil")</f>
        <v>Abrir facsímil</v>
      </c>
      <c r="K3445" s="15" t="s">
        <v>22</v>
      </c>
    </row>
    <row r="3446" spans="1:11" ht="42" customHeight="1">
      <c r="A3446" s="4" t="s">
        <v>7972</v>
      </c>
      <c r="B3446" s="5" t="s">
        <v>7973</v>
      </c>
      <c r="C3446" s="5" t="s">
        <v>28</v>
      </c>
      <c r="D3446" s="5" t="s">
        <v>29</v>
      </c>
      <c r="E3446" s="5" t="s">
        <v>654</v>
      </c>
      <c r="F3446" s="9">
        <v>94</v>
      </c>
      <c r="G3446" s="9">
        <v>1094</v>
      </c>
      <c r="H3446" s="5" t="s">
        <v>20</v>
      </c>
      <c r="I3446" s="5" t="s">
        <v>7974</v>
      </c>
      <c r="J3446" s="12" t="str">
        <f>HYPERLINK("https://www.boe.es/gazeta/dias/1807/10/20/pdfs/GMD-1807-94.pdf#page=10","Abrir facsímil")</f>
        <v>Abrir facsímil</v>
      </c>
      <c r="K3446" s="15" t="s">
        <v>22</v>
      </c>
    </row>
    <row r="3447" spans="1:11" ht="42" customHeight="1">
      <c r="A3447" s="4" t="s">
        <v>7975</v>
      </c>
      <c r="B3447" s="5" t="s">
        <v>7976</v>
      </c>
      <c r="C3447" s="5" t="s">
        <v>28</v>
      </c>
      <c r="D3447" s="5" t="s">
        <v>29</v>
      </c>
      <c r="E3447" s="5" t="s">
        <v>1076</v>
      </c>
      <c r="F3447" s="9">
        <v>96</v>
      </c>
      <c r="G3447" s="9">
        <v>1119</v>
      </c>
      <c r="H3447" s="5" t="s">
        <v>20</v>
      </c>
      <c r="I3447" s="5" t="s">
        <v>7977</v>
      </c>
      <c r="J3447" s="12" t="str">
        <f>HYPERLINK("https://www.boe.es/gazeta/dias/1807/10/27/pdfs/GMD-1807-96.pdf#page=11","Abrir facsímil")</f>
        <v>Abrir facsímil</v>
      </c>
      <c r="K3447" s="15" t="s">
        <v>22</v>
      </c>
    </row>
    <row r="3448" spans="1:11" ht="42" customHeight="1">
      <c r="A3448" s="4" t="s">
        <v>7975</v>
      </c>
      <c r="B3448" s="5" t="s">
        <v>7976</v>
      </c>
      <c r="C3448" s="5" t="s">
        <v>34</v>
      </c>
      <c r="D3448" s="5" t="s">
        <v>35</v>
      </c>
      <c r="E3448" s="5" t="s">
        <v>350</v>
      </c>
      <c r="F3448" s="9">
        <v>112</v>
      </c>
      <c r="G3448" s="9">
        <v>1310</v>
      </c>
      <c r="H3448" s="5" t="s">
        <v>20</v>
      </c>
      <c r="I3448" s="5" t="s">
        <v>7978</v>
      </c>
      <c r="J3448" s="12" t="str">
        <f>HYPERLINK("https://www.boe.es/gazeta/dias/1807/12/18/pdfs/GMD-1807-112.pdf#page=10","Abrir facsímil")</f>
        <v>Abrir facsímil</v>
      </c>
      <c r="K3448" s="15" t="s">
        <v>22</v>
      </c>
    </row>
    <row r="3449" spans="1:11" ht="42" customHeight="1">
      <c r="A3449" s="4" t="s">
        <v>7975</v>
      </c>
      <c r="B3449" s="5" t="s">
        <v>7976</v>
      </c>
      <c r="C3449" s="5" t="s">
        <v>89</v>
      </c>
      <c r="D3449" s="5" t="s">
        <v>90</v>
      </c>
      <c r="E3449" s="5" t="s">
        <v>575</v>
      </c>
      <c r="F3449" s="9">
        <v>115</v>
      </c>
      <c r="G3449" s="9">
        <v>1340</v>
      </c>
      <c r="H3449" s="5" t="s">
        <v>20</v>
      </c>
      <c r="I3449" s="5" t="s">
        <v>7979</v>
      </c>
      <c r="J3449" s="12" t="str">
        <f>HYPERLINK("https://www.boe.es/gazeta/dias/1807/12/29/pdfs/GMD-1807-115.pdf#page=8","Abrir facsímil")</f>
        <v>Abrir facsímil</v>
      </c>
      <c r="K3449" s="15" t="s">
        <v>22</v>
      </c>
    </row>
    <row r="3450" spans="1:11" ht="42" customHeight="1">
      <c r="A3450" s="4" t="s">
        <v>7980</v>
      </c>
      <c r="B3450" s="5" t="s">
        <v>7981</v>
      </c>
      <c r="C3450" s="5" t="s">
        <v>24</v>
      </c>
      <c r="D3450" s="5" t="s">
        <v>18</v>
      </c>
      <c r="E3450" s="5" t="s">
        <v>19</v>
      </c>
      <c r="F3450" s="9">
        <v>41</v>
      </c>
      <c r="G3450" s="9">
        <v>490</v>
      </c>
      <c r="H3450" s="5" t="s">
        <v>20</v>
      </c>
      <c r="I3450" s="5" t="s">
        <v>7982</v>
      </c>
      <c r="J3450" s="12" t="str">
        <f>HYPERLINK("https://www.boe.es/gazeta/dias/1807/05/12/pdfs/GMD-1807-41.pdf#page=8","Abrir facsímil")</f>
        <v>Abrir facsímil</v>
      </c>
      <c r="K3450" s="15" t="s">
        <v>22</v>
      </c>
    </row>
    <row r="3451" spans="1:11" ht="42" customHeight="1">
      <c r="A3451" s="4" t="s">
        <v>7983</v>
      </c>
      <c r="B3451" s="5" t="s">
        <v>7984</v>
      </c>
      <c r="C3451" s="5" t="s">
        <v>28</v>
      </c>
      <c r="D3451" s="5" t="s">
        <v>29</v>
      </c>
      <c r="E3451" s="5" t="s">
        <v>305</v>
      </c>
      <c r="F3451" s="9">
        <v>53</v>
      </c>
      <c r="G3451" s="9">
        <v>637</v>
      </c>
      <c r="H3451" s="5" t="s">
        <v>20</v>
      </c>
      <c r="I3451" s="5" t="s">
        <v>7985</v>
      </c>
      <c r="J3451" s="12" t="str">
        <f>HYPERLINK("https://www.boe.es/gazeta/dias/1807/06/23/pdfs/GMD-1807-53.pdf#page=11","Abrir facsímil")</f>
        <v>Abrir facsímil</v>
      </c>
      <c r="K3451" s="15" t="s">
        <v>22</v>
      </c>
    </row>
    <row r="3452" spans="1:11" ht="42" customHeight="1">
      <c r="A3452" s="4" t="s">
        <v>7986</v>
      </c>
      <c r="B3452" s="5" t="s">
        <v>7987</v>
      </c>
      <c r="C3452" s="5" t="s">
        <v>34</v>
      </c>
      <c r="D3452" s="5" t="s">
        <v>35</v>
      </c>
      <c r="E3452" s="5" t="s">
        <v>319</v>
      </c>
      <c r="F3452" s="9">
        <v>54</v>
      </c>
      <c r="G3452" s="9">
        <v>645</v>
      </c>
      <c r="H3452" s="5" t="s">
        <v>20</v>
      </c>
      <c r="I3452" s="5" t="s">
        <v>7988</v>
      </c>
      <c r="J3452" s="12" t="str">
        <f>HYPERLINK("https://www.boe.es/gazeta/dias/1807/06/26/pdfs/GMD-1807-54.pdf#page=7","Abrir facsímil")</f>
        <v>Abrir facsímil</v>
      </c>
      <c r="K3452" s="15" t="s">
        <v>22</v>
      </c>
    </row>
    <row r="3453" spans="1:11" ht="42" customHeight="1">
      <c r="A3453" s="4" t="s">
        <v>7989</v>
      </c>
      <c r="B3453" s="5" t="s">
        <v>7990</v>
      </c>
      <c r="C3453" s="5" t="s">
        <v>34</v>
      </c>
      <c r="D3453" s="5" t="s">
        <v>35</v>
      </c>
      <c r="E3453" s="5" t="s">
        <v>581</v>
      </c>
      <c r="F3453" s="9">
        <v>71</v>
      </c>
      <c r="G3453" s="9">
        <v>817</v>
      </c>
      <c r="H3453" s="5" t="s">
        <v>20</v>
      </c>
      <c r="I3453" s="5" t="s">
        <v>7991</v>
      </c>
      <c r="J3453" s="12" t="str">
        <f>HYPERLINK("https://www.boe.es/gazeta/dias/1807/08/07/pdfs/GMD-1807-71.pdf#page=9","Abrir facsímil")</f>
        <v>Abrir facsímil</v>
      </c>
      <c r="K3453" s="15" t="s">
        <v>22</v>
      </c>
    </row>
    <row r="3454" spans="1:11" ht="42" customHeight="1">
      <c r="A3454" s="4" t="s">
        <v>7992</v>
      </c>
      <c r="B3454" s="5" t="s">
        <v>7993</v>
      </c>
      <c r="C3454" s="5" t="s">
        <v>34</v>
      </c>
      <c r="D3454" s="5" t="s">
        <v>35</v>
      </c>
      <c r="E3454" s="5" t="s">
        <v>94</v>
      </c>
      <c r="F3454" s="9">
        <v>22</v>
      </c>
      <c r="G3454" s="9">
        <v>255</v>
      </c>
      <c r="H3454" s="5" t="s">
        <v>20</v>
      </c>
      <c r="I3454" s="5" t="s">
        <v>7994</v>
      </c>
      <c r="J3454" s="12" t="str">
        <f>HYPERLINK("https://www.boe.es/gazeta/dias/1807/03/06/pdfs/GMD-1807-22.pdf#page=7","Abrir facsímil")</f>
        <v>Abrir facsímil</v>
      </c>
      <c r="K3454" s="15" t="s">
        <v>22</v>
      </c>
    </row>
    <row r="3455" spans="1:11" ht="42" customHeight="1">
      <c r="A3455" s="4" t="s">
        <v>7995</v>
      </c>
      <c r="B3455" s="5" t="s">
        <v>7996</v>
      </c>
      <c r="C3455" s="5" t="s">
        <v>28</v>
      </c>
      <c r="D3455" s="5" t="s">
        <v>29</v>
      </c>
      <c r="E3455" s="5" t="s">
        <v>754</v>
      </c>
      <c r="F3455" s="9">
        <v>103</v>
      </c>
      <c r="G3455" s="9">
        <v>1202</v>
      </c>
      <c r="H3455" s="5" t="s">
        <v>20</v>
      </c>
      <c r="I3455" s="5" t="s">
        <v>7997</v>
      </c>
      <c r="J3455" s="12" t="str">
        <f>HYPERLINK("https://www.boe.es/gazeta/dias/1807/11/20/pdfs/GMD-1807-103.pdf#page=10","Abrir facsímil")</f>
        <v>Abrir facsímil</v>
      </c>
      <c r="K3455" s="15" t="s">
        <v>22</v>
      </c>
    </row>
    <row r="3456" spans="1:11" ht="42" customHeight="1">
      <c r="A3456" s="4" t="s">
        <v>7998</v>
      </c>
      <c r="B3456" s="5" t="s">
        <v>7999</v>
      </c>
      <c r="C3456" s="5" t="s">
        <v>17</v>
      </c>
      <c r="D3456" s="5" t="s">
        <v>18</v>
      </c>
      <c r="E3456" s="5" t="s">
        <v>654</v>
      </c>
      <c r="F3456" s="9">
        <v>94</v>
      </c>
      <c r="G3456" s="9">
        <v>1092</v>
      </c>
      <c r="H3456" s="5" t="s">
        <v>20</v>
      </c>
      <c r="I3456" s="5" t="s">
        <v>8000</v>
      </c>
      <c r="J3456" s="12" t="str">
        <f>HYPERLINK("https://www.boe.es/gazeta/dias/1807/10/20/pdfs/GMD-1807-94.pdf#page=8","Abrir facsímil")</f>
        <v>Abrir facsímil</v>
      </c>
      <c r="K3456" s="15" t="s">
        <v>22</v>
      </c>
    </row>
    <row r="3457" spans="1:11" ht="42" customHeight="1">
      <c r="A3457" s="4" t="s">
        <v>8001</v>
      </c>
      <c r="B3457" s="5" t="s">
        <v>8002</v>
      </c>
      <c r="C3457" s="5" t="s">
        <v>69</v>
      </c>
      <c r="D3457" s="5" t="s">
        <v>70</v>
      </c>
      <c r="E3457" s="5" t="s">
        <v>71</v>
      </c>
      <c r="F3457" s="9">
        <v>35</v>
      </c>
      <c r="G3457" s="9" t="s">
        <v>72</v>
      </c>
      <c r="H3457" s="5" t="s">
        <v>20</v>
      </c>
      <c r="I3457" s="5" t="s">
        <v>8003</v>
      </c>
      <c r="J3457" s="12" t="str">
        <f>HYPERLINK("https://www.boe.es/gazeta/dias/1807/04/21/pdfs/C00001-00004.pdf#page=1","Abrir facsímil")</f>
        <v>Abrir facsímil</v>
      </c>
      <c r="K3457" s="15" t="s">
        <v>22</v>
      </c>
    </row>
    <row r="3458" spans="1:11" ht="42" customHeight="1">
      <c r="A3458" s="4" t="s">
        <v>8004</v>
      </c>
      <c r="B3458" s="5" t="s">
        <v>8005</v>
      </c>
      <c r="C3458" s="5" t="s">
        <v>34</v>
      </c>
      <c r="D3458" s="5" t="s">
        <v>35</v>
      </c>
      <c r="E3458" s="5" t="s">
        <v>390</v>
      </c>
      <c r="F3458" s="9">
        <v>24</v>
      </c>
      <c r="G3458" s="9">
        <v>287</v>
      </c>
      <c r="H3458" s="5" t="s">
        <v>20</v>
      </c>
      <c r="I3458" s="5" t="s">
        <v>8006</v>
      </c>
      <c r="J3458" s="12" t="str">
        <f>HYPERLINK("https://www.boe.es/gazeta/dias/1807/03/13/pdfs/GMD-1807-24.pdf#page=11","Abrir facsímil")</f>
        <v>Abrir facsímil</v>
      </c>
      <c r="K3458" s="15" t="s">
        <v>22</v>
      </c>
    </row>
    <row r="3459" spans="1:11" ht="42" customHeight="1">
      <c r="A3459" s="4" t="s">
        <v>8007</v>
      </c>
      <c r="B3459" s="5" t="s">
        <v>8008</v>
      </c>
      <c r="C3459" s="5" t="s">
        <v>28</v>
      </c>
      <c r="D3459" s="5" t="s">
        <v>29</v>
      </c>
      <c r="E3459" s="5" t="s">
        <v>208</v>
      </c>
      <c r="F3459" s="9">
        <v>42</v>
      </c>
      <c r="G3459" s="9">
        <v>505</v>
      </c>
      <c r="H3459" s="5" t="s">
        <v>20</v>
      </c>
      <c r="I3459" s="5" t="s">
        <v>8009</v>
      </c>
      <c r="J3459" s="12" t="str">
        <f>HYPERLINK("https://www.boe.es/gazeta/dias/1807/05/15/pdfs/GMD-1807-42.pdf#page=11","Abrir facsímil")</f>
        <v>Abrir facsímil</v>
      </c>
      <c r="K3459" s="15" t="s">
        <v>22</v>
      </c>
    </row>
    <row r="3460" spans="1:11" ht="42" customHeight="1">
      <c r="A3460" s="4" t="s">
        <v>8010</v>
      </c>
      <c r="B3460" s="5" t="s">
        <v>8011</v>
      </c>
      <c r="C3460" s="5" t="s">
        <v>34</v>
      </c>
      <c r="D3460" s="5" t="s">
        <v>35</v>
      </c>
      <c r="E3460" s="5" t="s">
        <v>390</v>
      </c>
      <c r="F3460" s="9">
        <v>24</v>
      </c>
      <c r="G3460" s="9">
        <v>288</v>
      </c>
      <c r="H3460" s="5" t="s">
        <v>20</v>
      </c>
      <c r="I3460" s="5" t="s">
        <v>8012</v>
      </c>
      <c r="J3460" s="12" t="str">
        <f>HYPERLINK("https://www.boe.es/gazeta/dias/1807/03/13/pdfs/GMD-1807-24.pdf#page=12","Abrir facsímil")</f>
        <v>Abrir facsímil</v>
      </c>
      <c r="K3460" s="15" t="s">
        <v>22</v>
      </c>
    </row>
    <row r="3461" spans="1:11" ht="42" customHeight="1">
      <c r="A3461" s="4" t="s">
        <v>8010</v>
      </c>
      <c r="B3461" s="5" t="s">
        <v>8011</v>
      </c>
      <c r="C3461" s="5" t="s">
        <v>28</v>
      </c>
      <c r="D3461" s="5" t="s">
        <v>29</v>
      </c>
      <c r="E3461" s="5" t="s">
        <v>245</v>
      </c>
      <c r="F3461" s="9">
        <v>97</v>
      </c>
      <c r="G3461" s="9">
        <v>1127</v>
      </c>
      <c r="H3461" s="5" t="s">
        <v>20</v>
      </c>
      <c r="I3461" s="5" t="s">
        <v>8013</v>
      </c>
      <c r="J3461" s="12" t="str">
        <f>HYPERLINK("https://www.boe.es/gazeta/dias/1807/10/30/pdfs/GMD-1807-97.pdf#page=7","Abrir facsímil")</f>
        <v>Abrir facsímil</v>
      </c>
      <c r="K3461" s="15" t="s">
        <v>22</v>
      </c>
    </row>
    <row r="3462" spans="1:11" ht="42" customHeight="1">
      <c r="A3462" s="4" t="s">
        <v>8014</v>
      </c>
      <c r="B3462" s="5" t="s">
        <v>8015</v>
      </c>
      <c r="C3462" s="5" t="s">
        <v>34</v>
      </c>
      <c r="D3462" s="5" t="s">
        <v>35</v>
      </c>
      <c r="E3462" s="5" t="s">
        <v>221</v>
      </c>
      <c r="F3462" s="9">
        <v>73</v>
      </c>
      <c r="G3462" s="9">
        <v>845</v>
      </c>
      <c r="H3462" s="5" t="s">
        <v>20</v>
      </c>
      <c r="I3462" s="5" t="s">
        <v>8016</v>
      </c>
      <c r="J3462" s="12" t="str">
        <f>HYPERLINK("https://www.boe.es/gazeta/dias/1807/08/14/pdfs/GMD-1807-73.pdf#page=9","Abrir facsímil")</f>
        <v>Abrir facsímil</v>
      </c>
      <c r="K3462" s="15" t="s">
        <v>22</v>
      </c>
    </row>
    <row r="3463" spans="1:11" ht="42" customHeight="1">
      <c r="A3463" s="4" t="s">
        <v>8014</v>
      </c>
      <c r="B3463" s="5" t="s">
        <v>8015</v>
      </c>
      <c r="C3463" s="5" t="s">
        <v>34</v>
      </c>
      <c r="D3463" s="5" t="s">
        <v>35</v>
      </c>
      <c r="E3463" s="5" t="s">
        <v>224</v>
      </c>
      <c r="F3463" s="9">
        <v>91</v>
      </c>
      <c r="G3463" s="9">
        <v>1055</v>
      </c>
      <c r="H3463" s="5" t="s">
        <v>20</v>
      </c>
      <c r="I3463" s="5" t="s">
        <v>8017</v>
      </c>
      <c r="J3463" s="12" t="str">
        <f>HYPERLINK("https://www.boe.es/gazeta/dias/1807/10/09/pdfs/GMD-1807-91.pdf#page=7","Abrir facsímil")</f>
        <v>Abrir facsímil</v>
      </c>
      <c r="K3463" s="15" t="s">
        <v>22</v>
      </c>
    </row>
    <row r="3464" spans="1:11" ht="42" customHeight="1">
      <c r="A3464" s="4" t="s">
        <v>8018</v>
      </c>
      <c r="B3464" s="5" t="s">
        <v>8019</v>
      </c>
      <c r="C3464" s="5" t="s">
        <v>17</v>
      </c>
      <c r="D3464" s="5" t="s">
        <v>18</v>
      </c>
      <c r="E3464" s="5" t="s">
        <v>505</v>
      </c>
      <c r="F3464" s="9">
        <v>47</v>
      </c>
      <c r="G3464" s="9">
        <v>562</v>
      </c>
      <c r="H3464" s="5" t="s">
        <v>20</v>
      </c>
      <c r="I3464" s="5" t="s">
        <v>8020</v>
      </c>
      <c r="J3464" s="12" t="str">
        <f>HYPERLINK("https://www.boe.es/gazeta/dias/1807/06/02/pdfs/GMD-1807-47.pdf#page=8","Abrir facsímil")</f>
        <v>Abrir facsímil</v>
      </c>
      <c r="K3464" s="15" t="s">
        <v>22</v>
      </c>
    </row>
    <row r="3465" spans="1:11" ht="42" customHeight="1">
      <c r="A3465" s="4" t="s">
        <v>8021</v>
      </c>
      <c r="B3465" s="5" t="s">
        <v>8022</v>
      </c>
      <c r="C3465" s="5" t="s">
        <v>28</v>
      </c>
      <c r="D3465" s="5" t="s">
        <v>29</v>
      </c>
      <c r="E3465" s="5" t="s">
        <v>106</v>
      </c>
      <c r="F3465" s="9">
        <v>39</v>
      </c>
      <c r="G3465" s="9">
        <v>470</v>
      </c>
      <c r="H3465" s="5" t="s">
        <v>20</v>
      </c>
      <c r="I3465" s="5" t="s">
        <v>8023</v>
      </c>
      <c r="J3465" s="12" t="str">
        <f>HYPERLINK("https://www.boe.es/gazeta/dias/1807/05/05/pdfs/GMD-1807-39.pdf#page=12","Abrir facsímil")</f>
        <v>Abrir facsímil</v>
      </c>
      <c r="K3465" s="15" t="s">
        <v>22</v>
      </c>
    </row>
    <row r="3466" spans="1:11" ht="42" customHeight="1">
      <c r="A3466" s="4" t="s">
        <v>8024</v>
      </c>
      <c r="B3466" s="5" t="s">
        <v>8025</v>
      </c>
      <c r="C3466" s="5" t="s">
        <v>24</v>
      </c>
      <c r="D3466" s="5" t="s">
        <v>18</v>
      </c>
      <c r="E3466" s="5" t="s">
        <v>426</v>
      </c>
      <c r="F3466" s="9">
        <v>93</v>
      </c>
      <c r="G3466" s="9">
        <v>1082</v>
      </c>
      <c r="H3466" s="5" t="s">
        <v>20</v>
      </c>
      <c r="I3466" s="5" t="s">
        <v>8026</v>
      </c>
      <c r="J3466" s="12" t="str">
        <f>HYPERLINK("https://www.boe.es/gazeta/dias/1807/10/16/pdfs/GMD-1807-93.pdf#page=10","Abrir facsímil")</f>
        <v>Abrir facsímil</v>
      </c>
      <c r="K3466" s="15" t="s">
        <v>22</v>
      </c>
    </row>
    <row r="3467" spans="1:11" ht="42" customHeight="1">
      <c r="A3467" s="4" t="s">
        <v>8027</v>
      </c>
      <c r="B3467" s="5" t="s">
        <v>8028</v>
      </c>
      <c r="C3467" s="5" t="s">
        <v>24</v>
      </c>
      <c r="D3467" s="5" t="s">
        <v>18</v>
      </c>
      <c r="E3467" s="5" t="s">
        <v>2914</v>
      </c>
      <c r="F3467" s="9">
        <v>29</v>
      </c>
      <c r="G3467" s="9">
        <v>346</v>
      </c>
      <c r="H3467" s="5" t="s">
        <v>20</v>
      </c>
      <c r="I3467" s="5" t="s">
        <v>8029</v>
      </c>
      <c r="J3467" s="12" t="str">
        <f>HYPERLINK("https://www.boe.es/gazeta/dias/1807/03/31/pdfs/GMD-1807-29.pdf#page=10","Abrir facsímil")</f>
        <v>Abrir facsímil</v>
      </c>
      <c r="K3467" s="15" t="s">
        <v>22</v>
      </c>
    </row>
    <row r="3468" spans="1:11" ht="42" customHeight="1">
      <c r="A3468" s="4" t="s">
        <v>8027</v>
      </c>
      <c r="B3468" s="5" t="s">
        <v>8028</v>
      </c>
      <c r="C3468" s="5" t="s">
        <v>24</v>
      </c>
      <c r="D3468" s="5" t="s">
        <v>18</v>
      </c>
      <c r="E3468" s="5" t="s">
        <v>62</v>
      </c>
      <c r="F3468" s="9">
        <v>68</v>
      </c>
      <c r="G3468" s="9">
        <v>785</v>
      </c>
      <c r="H3468" s="5" t="s">
        <v>20</v>
      </c>
      <c r="I3468" s="5" t="s">
        <v>8030</v>
      </c>
      <c r="J3468" s="12" t="str">
        <f>HYPERLINK("https://www.boe.es/gazeta/dias/1807/07/31/pdfs/GMD-1807-68.pdf#page=9","Abrir facsímil")</f>
        <v>Abrir facsímil</v>
      </c>
      <c r="K3468" s="15" t="s">
        <v>22</v>
      </c>
    </row>
    <row r="3469" spans="1:11" ht="42" customHeight="1">
      <c r="A3469" s="4" t="s">
        <v>8031</v>
      </c>
      <c r="B3469" s="5" t="s">
        <v>8032</v>
      </c>
      <c r="C3469" s="5" t="s">
        <v>24</v>
      </c>
      <c r="D3469" s="5" t="s">
        <v>18</v>
      </c>
      <c r="E3469" s="5" t="s">
        <v>40</v>
      </c>
      <c r="F3469" s="9">
        <v>26</v>
      </c>
      <c r="G3469" s="9">
        <v>310</v>
      </c>
      <c r="H3469" s="5" t="s">
        <v>20</v>
      </c>
      <c r="I3469" s="5" t="s">
        <v>8033</v>
      </c>
      <c r="J3469" s="12" t="str">
        <f>HYPERLINK("https://www.boe.es/gazeta/dias/1807/03/20/pdfs/GMD-1807-26.pdf#page=6","Abrir facsímil")</f>
        <v>Abrir facsímil</v>
      </c>
      <c r="K3469" s="15" t="s">
        <v>22</v>
      </c>
    </row>
    <row r="3470" spans="1:11" ht="42" customHeight="1">
      <c r="A3470" s="4" t="s">
        <v>8034</v>
      </c>
      <c r="B3470" s="5" t="s">
        <v>8035</v>
      </c>
      <c r="C3470" s="5" t="s">
        <v>24</v>
      </c>
      <c r="D3470" s="5" t="s">
        <v>18</v>
      </c>
      <c r="E3470" s="5" t="s">
        <v>245</v>
      </c>
      <c r="F3470" s="9">
        <v>97</v>
      </c>
      <c r="G3470" s="9">
        <v>1131</v>
      </c>
      <c r="H3470" s="5" t="s">
        <v>20</v>
      </c>
      <c r="I3470" s="5" t="s">
        <v>8036</v>
      </c>
      <c r="J3470" s="12" t="str">
        <f>HYPERLINK("https://www.boe.es/gazeta/dias/1807/10/30/pdfs/GMD-1807-97.pdf#page=11","Abrir facsímil")</f>
        <v>Abrir facsímil</v>
      </c>
      <c r="K3470" s="15" t="s">
        <v>22</v>
      </c>
    </row>
    <row r="3471" spans="1:11" ht="42" customHeight="1">
      <c r="A3471" s="4" t="s">
        <v>8037</v>
      </c>
      <c r="B3471" s="5" t="s">
        <v>8038</v>
      </c>
      <c r="C3471" s="5" t="s">
        <v>17</v>
      </c>
      <c r="D3471" s="5" t="s">
        <v>18</v>
      </c>
      <c r="E3471" s="5" t="s">
        <v>111</v>
      </c>
      <c r="F3471" s="9">
        <v>90</v>
      </c>
      <c r="G3471" s="9">
        <v>1044</v>
      </c>
      <c r="H3471" s="5" t="s">
        <v>20</v>
      </c>
      <c r="I3471" s="5" t="s">
        <v>8039</v>
      </c>
      <c r="J3471" s="12" t="str">
        <f>HYPERLINK("https://www.boe.es/gazeta/dias/1807/10/06/pdfs/GMD-1807-90.pdf#page=12","Abrir facsímil")</f>
        <v>Abrir facsímil</v>
      </c>
      <c r="K3471" s="15" t="s">
        <v>22</v>
      </c>
    </row>
    <row r="3472" spans="1:11" ht="42" customHeight="1">
      <c r="A3472" s="4" t="s">
        <v>8040</v>
      </c>
      <c r="B3472" s="5" t="s">
        <v>8041</v>
      </c>
      <c r="C3472" s="5" t="s">
        <v>34</v>
      </c>
      <c r="D3472" s="5" t="s">
        <v>35</v>
      </c>
      <c r="E3472" s="5" t="s">
        <v>221</v>
      </c>
      <c r="F3472" s="9">
        <v>73</v>
      </c>
      <c r="G3472" s="9">
        <v>845</v>
      </c>
      <c r="H3472" s="5" t="s">
        <v>20</v>
      </c>
      <c r="I3472" s="5" t="s">
        <v>8042</v>
      </c>
      <c r="J3472" s="12" t="str">
        <f>HYPERLINK("https://www.boe.es/gazeta/dias/1807/08/14/pdfs/GMD-1807-73.pdf#page=9","Abrir facsímil")</f>
        <v>Abrir facsímil</v>
      </c>
      <c r="K3472" s="15" t="s">
        <v>22</v>
      </c>
    </row>
    <row r="3473" spans="1:11" ht="42" customHeight="1">
      <c r="A3473" s="4" t="s">
        <v>8040</v>
      </c>
      <c r="B3473" s="5" t="s">
        <v>8041</v>
      </c>
      <c r="C3473" s="5" t="s">
        <v>34</v>
      </c>
      <c r="D3473" s="5" t="s">
        <v>35</v>
      </c>
      <c r="E3473" s="5" t="s">
        <v>156</v>
      </c>
      <c r="F3473" s="9">
        <v>74</v>
      </c>
      <c r="G3473" s="9">
        <v>855</v>
      </c>
      <c r="H3473" s="5" t="s">
        <v>20</v>
      </c>
      <c r="I3473" s="5" t="s">
        <v>8043</v>
      </c>
      <c r="J3473" s="12" t="str">
        <f>HYPERLINK("https://www.boe.es/gazeta/dias/1807/08/18/pdfs/GMD-1807-74.pdf#page=7","Abrir facsímil")</f>
        <v>Abrir facsímil</v>
      </c>
      <c r="K3473" s="15" t="s">
        <v>22</v>
      </c>
    </row>
    <row r="3474" spans="1:11" ht="42" customHeight="1">
      <c r="A3474" s="4" t="s">
        <v>8040</v>
      </c>
      <c r="B3474" s="5" t="s">
        <v>8041</v>
      </c>
      <c r="C3474" s="5" t="s">
        <v>34</v>
      </c>
      <c r="D3474" s="5" t="s">
        <v>35</v>
      </c>
      <c r="E3474" s="5" t="s">
        <v>241</v>
      </c>
      <c r="F3474" s="9">
        <v>76</v>
      </c>
      <c r="G3474" s="9">
        <v>879</v>
      </c>
      <c r="H3474" s="5" t="s">
        <v>20</v>
      </c>
      <c r="I3474" s="5" t="s">
        <v>8044</v>
      </c>
      <c r="J3474" s="12" t="str">
        <f>HYPERLINK("https://www.boe.es/gazeta/dias/1807/08/25/pdfs/GMD-1807-76.pdf#page=7","Abrir facsímil")</f>
        <v>Abrir facsímil</v>
      </c>
      <c r="K3474" s="15" t="s">
        <v>22</v>
      </c>
    </row>
    <row r="3475" spans="1:11" ht="42" customHeight="1">
      <c r="A3475" s="4" t="s">
        <v>8045</v>
      </c>
      <c r="B3475" s="5" t="s">
        <v>8046</v>
      </c>
      <c r="C3475" s="5" t="s">
        <v>28</v>
      </c>
      <c r="D3475" s="5" t="s">
        <v>29</v>
      </c>
      <c r="E3475" s="5" t="s">
        <v>245</v>
      </c>
      <c r="F3475" s="9">
        <v>97</v>
      </c>
      <c r="G3475" s="9">
        <v>1131</v>
      </c>
      <c r="H3475" s="5" t="s">
        <v>20</v>
      </c>
      <c r="I3475" s="5" t="s">
        <v>8047</v>
      </c>
      <c r="J3475" s="12" t="str">
        <f>HYPERLINK("https://www.boe.es/gazeta/dias/1807/10/30/pdfs/GMD-1807-97.pdf#page=11","Abrir facsímil")</f>
        <v>Abrir facsímil</v>
      </c>
      <c r="K3475" s="15" t="s">
        <v>22</v>
      </c>
    </row>
    <row r="3476" spans="1:11" ht="42" customHeight="1">
      <c r="A3476" s="4" t="s">
        <v>8048</v>
      </c>
      <c r="B3476" s="5" t="s">
        <v>8049</v>
      </c>
      <c r="C3476" s="5" t="s">
        <v>17</v>
      </c>
      <c r="D3476" s="5" t="s">
        <v>18</v>
      </c>
      <c r="E3476" s="5" t="s">
        <v>390</v>
      </c>
      <c r="F3476" s="9">
        <v>24</v>
      </c>
      <c r="G3476" s="9">
        <v>291</v>
      </c>
      <c r="H3476" s="5" t="s">
        <v>20</v>
      </c>
      <c r="I3476" s="5" t="s">
        <v>8050</v>
      </c>
      <c r="J3476" s="12" t="str">
        <f>HYPERLINK("https://www.boe.es/gazeta/dias/1807/03/13/pdfs/GMD-1807-24.pdf#page=15","Abrir facsímil")</f>
        <v>Abrir facsímil</v>
      </c>
      <c r="K3476" s="15" t="s">
        <v>22</v>
      </c>
    </row>
    <row r="3477" spans="1:11" ht="42" customHeight="1">
      <c r="A3477" s="4" t="s">
        <v>8051</v>
      </c>
      <c r="B3477" s="5" t="s">
        <v>8052</v>
      </c>
      <c r="C3477" s="5" t="s">
        <v>28</v>
      </c>
      <c r="D3477" s="5" t="s">
        <v>29</v>
      </c>
      <c r="E3477" s="5" t="s">
        <v>426</v>
      </c>
      <c r="F3477" s="9">
        <v>93</v>
      </c>
      <c r="G3477" s="9">
        <v>1082</v>
      </c>
      <c r="H3477" s="5" t="s">
        <v>20</v>
      </c>
      <c r="I3477" s="5" t="s">
        <v>8053</v>
      </c>
      <c r="J3477" s="12" t="str">
        <f>HYPERLINK("https://www.boe.es/gazeta/dias/1807/10/16/pdfs/GMD-1807-93.pdf#page=10","Abrir facsímil")</f>
        <v>Abrir facsímil</v>
      </c>
      <c r="K3477" s="15" t="s">
        <v>22</v>
      </c>
    </row>
    <row r="3478" spans="1:11" ht="42" customHeight="1">
      <c r="A3478" s="4" t="s">
        <v>8054</v>
      </c>
      <c r="B3478" s="5" t="s">
        <v>8054</v>
      </c>
      <c r="C3478" s="5" t="s">
        <v>89</v>
      </c>
      <c r="D3478" s="5" t="s">
        <v>90</v>
      </c>
      <c r="E3478" s="5" t="s">
        <v>91</v>
      </c>
      <c r="F3478" s="9">
        <v>109</v>
      </c>
      <c r="G3478" s="9">
        <v>1276</v>
      </c>
      <c r="H3478" s="5" t="s">
        <v>20</v>
      </c>
      <c r="I3478" s="5" t="s">
        <v>8055</v>
      </c>
      <c r="J3478" s="12" t="str">
        <f>HYPERLINK("https://www.boe.es/gazeta/dias/1807/12/08/pdfs/GMD-1807-109.pdf#page=12","Abrir facsímil")</f>
        <v>Abrir facsímil</v>
      </c>
      <c r="K3478" s="15" t="s">
        <v>22</v>
      </c>
    </row>
    <row r="3479" spans="1:11" ht="42" customHeight="1">
      <c r="A3479" s="4" t="s">
        <v>8056</v>
      </c>
      <c r="B3479" s="5" t="s">
        <v>8057</v>
      </c>
      <c r="C3479" s="5" t="s">
        <v>34</v>
      </c>
      <c r="D3479" s="5" t="s">
        <v>35</v>
      </c>
      <c r="E3479" s="5" t="s">
        <v>620</v>
      </c>
      <c r="F3479" s="9">
        <v>84</v>
      </c>
      <c r="G3479" s="9">
        <v>981</v>
      </c>
      <c r="H3479" s="5" t="s">
        <v>20</v>
      </c>
      <c r="I3479" s="5" t="s">
        <v>8058</v>
      </c>
      <c r="J3479" s="12" t="str">
        <f>HYPERLINK("https://www.boe.es/gazeta/dias/1807/09/22/pdfs/GMD-1807-84.pdf#page=9","Abrir facsímil")</f>
        <v>Abrir facsímil</v>
      </c>
      <c r="K3479" s="15" t="s">
        <v>22</v>
      </c>
    </row>
    <row r="3480" spans="1:11" ht="42" customHeight="1">
      <c r="A3480" s="4" t="s">
        <v>8059</v>
      </c>
      <c r="B3480" s="5" t="s">
        <v>8060</v>
      </c>
      <c r="C3480" s="5" t="s">
        <v>28</v>
      </c>
      <c r="D3480" s="5" t="s">
        <v>29</v>
      </c>
      <c r="E3480" s="5" t="s">
        <v>478</v>
      </c>
      <c r="F3480" s="9">
        <v>30</v>
      </c>
      <c r="G3480" s="9">
        <v>356</v>
      </c>
      <c r="H3480" s="5" t="s">
        <v>20</v>
      </c>
      <c r="I3480" s="5" t="s">
        <v>8061</v>
      </c>
      <c r="J3480" s="12" t="str">
        <f>HYPERLINK("https://www.boe.es/gazeta/dias/1807/04/03/pdfs/GMD-1807-30.pdf#page=8","Abrir facsímil")</f>
        <v>Abrir facsímil</v>
      </c>
      <c r="K3480" s="15" t="s">
        <v>22</v>
      </c>
    </row>
    <row r="3481" spans="1:11" ht="42" customHeight="1">
      <c r="A3481" s="4" t="s">
        <v>8062</v>
      </c>
      <c r="B3481" s="5" t="s">
        <v>8063</v>
      </c>
      <c r="C3481" s="5" t="s">
        <v>34</v>
      </c>
      <c r="D3481" s="5" t="s">
        <v>35</v>
      </c>
      <c r="E3481" s="5" t="s">
        <v>426</v>
      </c>
      <c r="F3481" s="9">
        <v>93</v>
      </c>
      <c r="G3481" s="9">
        <v>1080</v>
      </c>
      <c r="H3481" s="5" t="s">
        <v>20</v>
      </c>
      <c r="I3481" s="5" t="s">
        <v>8064</v>
      </c>
      <c r="J3481" s="12" t="str">
        <f>HYPERLINK("https://www.boe.es/gazeta/dias/1807/10/16/pdfs/GMD-1807-93.pdf#page=8","Abrir facsímil")</f>
        <v>Abrir facsímil</v>
      </c>
      <c r="K3481" s="15" t="s">
        <v>22</v>
      </c>
    </row>
    <row r="3482" spans="1:11" ht="42" customHeight="1">
      <c r="A3482" s="4" t="s">
        <v>8065</v>
      </c>
      <c r="B3482" s="5" t="s">
        <v>8066</v>
      </c>
      <c r="C3482" s="5" t="s">
        <v>89</v>
      </c>
      <c r="D3482" s="5" t="s">
        <v>90</v>
      </c>
      <c r="E3482" s="5" t="s">
        <v>581</v>
      </c>
      <c r="F3482" s="9">
        <v>71</v>
      </c>
      <c r="G3482" s="9">
        <v>819</v>
      </c>
      <c r="H3482" s="5" t="s">
        <v>20</v>
      </c>
      <c r="I3482" s="5" t="s">
        <v>8067</v>
      </c>
      <c r="J3482" s="12" t="str">
        <f>HYPERLINK("https://www.boe.es/gazeta/dias/1807/08/07/pdfs/GMD-1807-71.pdf#page=11","Abrir facsímil")</f>
        <v>Abrir facsímil</v>
      </c>
      <c r="K3482" s="15" t="s">
        <v>22</v>
      </c>
    </row>
    <row r="3483" spans="1:11" ht="42" customHeight="1">
      <c r="A3483" s="4" t="s">
        <v>8068</v>
      </c>
      <c r="B3483" s="5" t="s">
        <v>8069</v>
      </c>
      <c r="C3483" s="5" t="s">
        <v>34</v>
      </c>
      <c r="D3483" s="5" t="s">
        <v>35</v>
      </c>
      <c r="E3483" s="5" t="s">
        <v>190</v>
      </c>
      <c r="F3483" s="9">
        <v>37</v>
      </c>
      <c r="G3483" s="9">
        <v>440</v>
      </c>
      <c r="H3483" s="5" t="s">
        <v>20</v>
      </c>
      <c r="I3483" s="5" t="s">
        <v>8070</v>
      </c>
      <c r="J3483" s="12" t="str">
        <f>HYPERLINK("https://www.boe.es/gazeta/dias/1807/04/28/pdfs/GMD-1807-37.pdf#page=8","Abrir facsímil")</f>
        <v>Abrir facsímil</v>
      </c>
      <c r="K3483" s="15" t="s">
        <v>22</v>
      </c>
    </row>
    <row r="3484" spans="1:11" ht="42" customHeight="1">
      <c r="A3484" s="4" t="s">
        <v>8071</v>
      </c>
      <c r="B3484" s="5" t="s">
        <v>8072</v>
      </c>
      <c r="C3484" s="5" t="s">
        <v>17</v>
      </c>
      <c r="D3484" s="5" t="s">
        <v>18</v>
      </c>
      <c r="E3484" s="5" t="s">
        <v>109</v>
      </c>
      <c r="F3484" s="9">
        <v>58</v>
      </c>
      <c r="G3484" s="9">
        <v>688</v>
      </c>
      <c r="H3484" s="5" t="s">
        <v>20</v>
      </c>
      <c r="I3484" s="5" t="s">
        <v>8073</v>
      </c>
      <c r="J3484" s="12" t="str">
        <f>HYPERLINK("https://www.boe.es/gazeta/dias/1807/07/07/pdfs/GMD-1807-58.pdf#page=6","Abrir facsímil")</f>
        <v>Abrir facsímil</v>
      </c>
      <c r="K3484" s="15" t="s">
        <v>22</v>
      </c>
    </row>
    <row r="3485" spans="1:11" ht="42" customHeight="1">
      <c r="A3485" s="4" t="s">
        <v>8074</v>
      </c>
      <c r="B3485" s="5" t="s">
        <v>8075</v>
      </c>
      <c r="C3485" s="5" t="s">
        <v>34</v>
      </c>
      <c r="D3485" s="5" t="s">
        <v>35</v>
      </c>
      <c r="E3485" s="5" t="s">
        <v>176</v>
      </c>
      <c r="F3485" s="9">
        <v>17</v>
      </c>
      <c r="G3485" s="9">
        <v>195</v>
      </c>
      <c r="H3485" s="5" t="s">
        <v>20</v>
      </c>
      <c r="I3485" s="5" t="s">
        <v>8076</v>
      </c>
      <c r="J3485" s="12" t="str">
        <f>HYPERLINK("https://www.boe.es/gazeta/dias/1807/02/20/pdfs/GMD-1807-17.pdf#page=7","Abrir facsímil")</f>
        <v>Abrir facsímil</v>
      </c>
      <c r="K3485" s="15" t="s">
        <v>22</v>
      </c>
    </row>
    <row r="3486" spans="1:11" ht="42" customHeight="1">
      <c r="A3486" s="4" t="s">
        <v>8074</v>
      </c>
      <c r="B3486" s="5" t="s">
        <v>8075</v>
      </c>
      <c r="C3486" s="5" t="s">
        <v>49</v>
      </c>
      <c r="D3486" s="5" t="s">
        <v>50</v>
      </c>
      <c r="E3486" s="5" t="s">
        <v>464</v>
      </c>
      <c r="F3486" s="9">
        <v>18</v>
      </c>
      <c r="G3486" s="9">
        <v>206</v>
      </c>
      <c r="H3486" s="5" t="s">
        <v>20</v>
      </c>
      <c r="I3486" s="5" t="s">
        <v>8077</v>
      </c>
      <c r="J3486" s="12" t="str">
        <f>HYPERLINK("https://www.boe.es/gazeta/dias/1807/02/24/pdfs/GMD-1807-18.pdf#page=6","Abrir facsímil")</f>
        <v>Abrir facsímil</v>
      </c>
      <c r="K3486" s="15" t="s">
        <v>22</v>
      </c>
    </row>
    <row r="3487" spans="1:11" ht="42" customHeight="1">
      <c r="A3487" s="4" t="s">
        <v>8074</v>
      </c>
      <c r="B3487" s="5" t="s">
        <v>8075</v>
      </c>
      <c r="C3487" s="5" t="s">
        <v>34</v>
      </c>
      <c r="D3487" s="5" t="s">
        <v>35</v>
      </c>
      <c r="E3487" s="5" t="s">
        <v>346</v>
      </c>
      <c r="F3487" s="9">
        <v>21</v>
      </c>
      <c r="G3487" s="9">
        <v>238</v>
      </c>
      <c r="H3487" s="5" t="s">
        <v>20</v>
      </c>
      <c r="I3487" s="5" t="s">
        <v>8078</v>
      </c>
      <c r="J3487" s="12" t="str">
        <f>HYPERLINK("https://www.boe.es/gazeta/dias/1807/03/03/pdfs/GMD-1807-21.pdf#page=2","Abrir facsímil")</f>
        <v>Abrir facsímil</v>
      </c>
      <c r="K3487" s="15" t="s">
        <v>22</v>
      </c>
    </row>
    <row r="3488" spans="1:11" ht="42" customHeight="1">
      <c r="A3488" s="4" t="s">
        <v>8079</v>
      </c>
      <c r="B3488" s="5" t="s">
        <v>8080</v>
      </c>
      <c r="C3488" s="5" t="s">
        <v>34</v>
      </c>
      <c r="D3488" s="5" t="s">
        <v>35</v>
      </c>
      <c r="E3488" s="5" t="s">
        <v>219</v>
      </c>
      <c r="F3488" s="9">
        <v>56</v>
      </c>
      <c r="G3488" s="9">
        <v>669</v>
      </c>
      <c r="H3488" s="5" t="s">
        <v>20</v>
      </c>
      <c r="I3488" s="5" t="s">
        <v>8081</v>
      </c>
      <c r="J3488" s="12" t="str">
        <f>HYPERLINK("https://www.boe.es/gazeta/dias/1807/07/03/pdfs/GMD-1807-56.pdf#page=7","Abrir facsímil")</f>
        <v>Abrir facsímil</v>
      </c>
      <c r="K3488" s="15" t="s">
        <v>22</v>
      </c>
    </row>
    <row r="3489" spans="1:11" ht="42" customHeight="1">
      <c r="A3489" s="4" t="s">
        <v>8082</v>
      </c>
      <c r="B3489" s="5" t="s">
        <v>8083</v>
      </c>
      <c r="C3489" s="5" t="s">
        <v>69</v>
      </c>
      <c r="D3489" s="5" t="s">
        <v>70</v>
      </c>
      <c r="E3489" s="5" t="s">
        <v>71</v>
      </c>
      <c r="F3489" s="9">
        <v>35</v>
      </c>
      <c r="G3489" s="9" t="s">
        <v>1485</v>
      </c>
      <c r="H3489" s="5" t="s">
        <v>20</v>
      </c>
      <c r="I3489" s="5" t="s">
        <v>8084</v>
      </c>
      <c r="J3489" s="12" t="str">
        <f>HYPERLINK("https://www.boe.es/gazeta/dias/1807/04/21/pdfs/C00001-00004.pdf#page=4","Abrir facsímil")</f>
        <v>Abrir facsímil</v>
      </c>
      <c r="K3489" s="15" t="s">
        <v>22</v>
      </c>
    </row>
    <row r="3490" spans="1:11" ht="42" customHeight="1">
      <c r="A3490" s="4" t="s">
        <v>8085</v>
      </c>
      <c r="B3490" s="5" t="s">
        <v>8085</v>
      </c>
      <c r="C3490" s="5" t="s">
        <v>28</v>
      </c>
      <c r="D3490" s="5" t="s">
        <v>29</v>
      </c>
      <c r="E3490" s="5" t="s">
        <v>94</v>
      </c>
      <c r="F3490" s="9">
        <v>22</v>
      </c>
      <c r="G3490" s="9">
        <v>258</v>
      </c>
      <c r="H3490" s="5" t="s">
        <v>20</v>
      </c>
      <c r="I3490" s="5" t="s">
        <v>8086</v>
      </c>
      <c r="J3490" s="12" t="str">
        <f>HYPERLINK("https://www.boe.es/gazeta/dias/1807/03/06/pdfs/GMD-1807-22.pdf#page=10","Abrir facsímil")</f>
        <v>Abrir facsímil</v>
      </c>
      <c r="K3490" s="15" t="s">
        <v>22</v>
      </c>
    </row>
    <row r="3491" spans="1:11" ht="42" customHeight="1">
      <c r="A3491" s="4" t="s">
        <v>8087</v>
      </c>
      <c r="B3491" s="5" t="s">
        <v>8087</v>
      </c>
      <c r="C3491" s="5" t="s">
        <v>34</v>
      </c>
      <c r="D3491" s="5" t="s">
        <v>35</v>
      </c>
      <c r="E3491" s="5" t="s">
        <v>221</v>
      </c>
      <c r="F3491" s="9">
        <v>73</v>
      </c>
      <c r="G3491" s="9">
        <v>845</v>
      </c>
      <c r="H3491" s="5" t="s">
        <v>20</v>
      </c>
      <c r="I3491" s="5" t="s">
        <v>8088</v>
      </c>
      <c r="J3491" s="12" t="str">
        <f>HYPERLINK("https://www.boe.es/gazeta/dias/1807/08/14/pdfs/GMD-1807-73.pdf#page=9","Abrir facsímil")</f>
        <v>Abrir facsímil</v>
      </c>
      <c r="K3491" s="15" t="s">
        <v>22</v>
      </c>
    </row>
    <row r="3492" spans="1:11" ht="42" customHeight="1">
      <c r="A3492" s="4" t="s">
        <v>8089</v>
      </c>
      <c r="B3492" s="5" t="s">
        <v>8090</v>
      </c>
      <c r="C3492" s="5" t="s">
        <v>34</v>
      </c>
      <c r="D3492" s="5" t="s">
        <v>35</v>
      </c>
      <c r="E3492" s="5" t="s">
        <v>53</v>
      </c>
      <c r="F3492" s="9">
        <v>64</v>
      </c>
      <c r="G3492" s="9">
        <v>747</v>
      </c>
      <c r="H3492" s="5" t="s">
        <v>20</v>
      </c>
      <c r="I3492" s="5" t="s">
        <v>8091</v>
      </c>
      <c r="J3492" s="12" t="str">
        <f>HYPERLINK("https://www.boe.es/gazeta/dias/1807/07/21/pdfs/GMD-1807-64.pdf#page=9","Abrir facsímil")</f>
        <v>Abrir facsímil</v>
      </c>
      <c r="K3492" s="15" t="s">
        <v>22</v>
      </c>
    </row>
    <row r="3493" spans="1:11" ht="42" customHeight="1">
      <c r="A3493" s="4" t="s">
        <v>8092</v>
      </c>
      <c r="B3493" s="5" t="s">
        <v>8093</v>
      </c>
      <c r="C3493" s="5" t="s">
        <v>34</v>
      </c>
      <c r="D3493" s="5" t="s">
        <v>35</v>
      </c>
      <c r="E3493" s="5" t="s">
        <v>461</v>
      </c>
      <c r="F3493" s="9">
        <v>99</v>
      </c>
      <c r="G3493" s="9">
        <v>1153</v>
      </c>
      <c r="H3493" s="5" t="s">
        <v>20</v>
      </c>
      <c r="I3493" s="5" t="s">
        <v>8094</v>
      </c>
      <c r="J3493" s="12" t="str">
        <f>HYPERLINK("https://www.boe.es/gazeta/dias/1807/11/06/pdfs/GMD-1807-99.pdf#page=9","Abrir facsímil")</f>
        <v>Abrir facsímil</v>
      </c>
      <c r="K3493" s="15" t="s">
        <v>22</v>
      </c>
    </row>
    <row r="3494" spans="1:11" ht="42" customHeight="1">
      <c r="A3494" s="4" t="s">
        <v>8095</v>
      </c>
      <c r="B3494" s="5" t="s">
        <v>8096</v>
      </c>
      <c r="C3494" s="5" t="s">
        <v>17</v>
      </c>
      <c r="D3494" s="5" t="s">
        <v>18</v>
      </c>
      <c r="E3494" s="5" t="s">
        <v>393</v>
      </c>
      <c r="F3494" s="9">
        <v>15</v>
      </c>
      <c r="G3494" s="9">
        <v>173</v>
      </c>
      <c r="H3494" s="5" t="s">
        <v>20</v>
      </c>
      <c r="I3494" s="5" t="s">
        <v>8097</v>
      </c>
      <c r="J3494" s="12" t="str">
        <f>HYPERLINK("https://www.boe.es/gazeta/dias/1807/02/13/pdfs/GMD-1807-15.pdf#page=9","Abrir facsímil")</f>
        <v>Abrir facsímil</v>
      </c>
      <c r="K3494" s="15" t="s">
        <v>22</v>
      </c>
    </row>
    <row r="3495" spans="1:11" ht="42" customHeight="1">
      <c r="A3495" s="4" t="s">
        <v>8098</v>
      </c>
      <c r="B3495" s="5" t="s">
        <v>8099</v>
      </c>
      <c r="C3495" s="5" t="s">
        <v>34</v>
      </c>
      <c r="D3495" s="5" t="s">
        <v>35</v>
      </c>
      <c r="E3495" s="5" t="s">
        <v>40</v>
      </c>
      <c r="F3495" s="9">
        <v>26</v>
      </c>
      <c r="G3495" s="9">
        <v>313</v>
      </c>
      <c r="H3495" s="5" t="s">
        <v>20</v>
      </c>
      <c r="I3495" s="5" t="s">
        <v>8100</v>
      </c>
      <c r="J3495" s="12" t="str">
        <f>HYPERLINK("https://www.boe.es/gazeta/dias/1807/03/20/pdfs/GMD-1807-26.pdf#page=9","Abrir facsímil")</f>
        <v>Abrir facsímil</v>
      </c>
      <c r="K3495" s="15" t="s">
        <v>22</v>
      </c>
    </row>
    <row r="3496" spans="1:11" ht="42" customHeight="1">
      <c r="A3496" s="4" t="s">
        <v>8101</v>
      </c>
      <c r="B3496" s="5" t="s">
        <v>8102</v>
      </c>
      <c r="C3496" s="5" t="s">
        <v>28</v>
      </c>
      <c r="D3496" s="5" t="s">
        <v>29</v>
      </c>
      <c r="E3496" s="5" t="s">
        <v>376</v>
      </c>
      <c r="F3496" s="9">
        <v>19</v>
      </c>
      <c r="G3496" s="9">
        <v>225</v>
      </c>
      <c r="H3496" s="5" t="s">
        <v>20</v>
      </c>
      <c r="I3496" s="5" t="s">
        <v>8103</v>
      </c>
      <c r="J3496" s="12" t="str">
        <f>HYPERLINK("https://www.boe.es/gazeta/dias/1807/02/27/pdfs/GMD-1807-19.pdf#page=9","Abrir facsímil")</f>
        <v>Abrir facsímil</v>
      </c>
      <c r="K3496" s="15" t="s">
        <v>22</v>
      </c>
    </row>
    <row r="3497" spans="1:11" ht="42" customHeight="1">
      <c r="A3497" s="4" t="s">
        <v>8104</v>
      </c>
      <c r="B3497" s="5" t="s">
        <v>8105</v>
      </c>
      <c r="C3497" s="5" t="s">
        <v>34</v>
      </c>
      <c r="D3497" s="5" t="s">
        <v>35</v>
      </c>
      <c r="E3497" s="5" t="s">
        <v>190</v>
      </c>
      <c r="F3497" s="9">
        <v>37</v>
      </c>
      <c r="G3497" s="9">
        <v>440</v>
      </c>
      <c r="H3497" s="5" t="s">
        <v>20</v>
      </c>
      <c r="I3497" s="5" t="s">
        <v>8106</v>
      </c>
      <c r="J3497" s="12" t="str">
        <f>HYPERLINK("https://www.boe.es/gazeta/dias/1807/04/28/pdfs/GMD-1807-37.pdf#page=8","Abrir facsímil")</f>
        <v>Abrir facsímil</v>
      </c>
      <c r="K3497" s="15" t="s">
        <v>22</v>
      </c>
    </row>
    <row r="3498" spans="1:11" ht="42" customHeight="1">
      <c r="A3498" s="4" t="s">
        <v>8107</v>
      </c>
      <c r="B3498" s="5" t="s">
        <v>8108</v>
      </c>
      <c r="C3498" s="5" t="s">
        <v>28</v>
      </c>
      <c r="D3498" s="5" t="s">
        <v>29</v>
      </c>
      <c r="E3498" s="5" t="s">
        <v>444</v>
      </c>
      <c r="F3498" s="9">
        <v>95</v>
      </c>
      <c r="G3498" s="9">
        <v>1105</v>
      </c>
      <c r="H3498" s="5" t="s">
        <v>20</v>
      </c>
      <c r="I3498" s="5" t="s">
        <v>8109</v>
      </c>
      <c r="J3498" s="12" t="str">
        <f>HYPERLINK("https://www.boe.es/gazeta/dias/1807/10/23/pdfs/GMD-1807-95.pdf#page=9","Abrir facsímil")</f>
        <v>Abrir facsímil</v>
      </c>
      <c r="K3498" s="15" t="s">
        <v>22</v>
      </c>
    </row>
    <row r="3499" spans="1:11" ht="42" customHeight="1">
      <c r="A3499" s="4" t="s">
        <v>8110</v>
      </c>
      <c r="B3499" s="5" t="s">
        <v>8111</v>
      </c>
      <c r="C3499" s="5" t="s">
        <v>34</v>
      </c>
      <c r="D3499" s="5" t="s">
        <v>35</v>
      </c>
      <c r="E3499" s="5" t="s">
        <v>461</v>
      </c>
      <c r="F3499" s="9">
        <v>99</v>
      </c>
      <c r="G3499" s="9">
        <v>1156</v>
      </c>
      <c r="H3499" s="5" t="s">
        <v>20</v>
      </c>
      <c r="I3499" s="5" t="s">
        <v>8112</v>
      </c>
      <c r="J3499" s="12" t="str">
        <f>HYPERLINK("https://www.boe.es/gazeta/dias/1807/11/06/pdfs/GMD-1807-99.pdf#page=12","Abrir facsímil")</f>
        <v>Abrir facsímil</v>
      </c>
      <c r="K3499" s="15" t="s">
        <v>22</v>
      </c>
    </row>
    <row r="3500" spans="1:11" ht="42" customHeight="1">
      <c r="A3500" s="4" t="s">
        <v>8113</v>
      </c>
      <c r="B3500" s="5" t="s">
        <v>8113</v>
      </c>
      <c r="C3500" s="5" t="s">
        <v>34</v>
      </c>
      <c r="D3500" s="5" t="s">
        <v>35</v>
      </c>
      <c r="E3500" s="5" t="s">
        <v>321</v>
      </c>
      <c r="F3500" s="9">
        <v>75</v>
      </c>
      <c r="G3500" s="9">
        <v>868</v>
      </c>
      <c r="H3500" s="5" t="s">
        <v>20</v>
      </c>
      <c r="I3500" s="5" t="s">
        <v>8114</v>
      </c>
      <c r="J3500" s="12" t="str">
        <f>HYPERLINK("https://www.boe.es/gazeta/dias/1807/08/21/pdfs/GMD-1807-75.pdf#page=8","Abrir facsímil")</f>
        <v>Abrir facsímil</v>
      </c>
      <c r="K3500" s="15" t="s">
        <v>22</v>
      </c>
    </row>
    <row r="3501" spans="1:11" ht="42" customHeight="1">
      <c r="A3501" s="4" t="s">
        <v>8115</v>
      </c>
      <c r="B3501" s="5" t="s">
        <v>8115</v>
      </c>
      <c r="C3501" s="5" t="s">
        <v>28</v>
      </c>
      <c r="D3501" s="5" t="s">
        <v>29</v>
      </c>
      <c r="E3501" s="5" t="s">
        <v>208</v>
      </c>
      <c r="F3501" s="9">
        <v>42</v>
      </c>
      <c r="G3501" s="9">
        <v>505</v>
      </c>
      <c r="H3501" s="5" t="s">
        <v>20</v>
      </c>
      <c r="I3501" s="5" t="s">
        <v>8116</v>
      </c>
      <c r="J3501" s="12" t="str">
        <f>HYPERLINK("https://www.boe.es/gazeta/dias/1807/05/15/pdfs/GMD-1807-42.pdf#page=11","Abrir facsímil")</f>
        <v>Abrir facsímil</v>
      </c>
      <c r="K3501" s="15" t="s">
        <v>22</v>
      </c>
    </row>
    <row r="3502" spans="1:11" ht="42" customHeight="1">
      <c r="A3502" s="4" t="s">
        <v>8117</v>
      </c>
      <c r="B3502" s="5" t="s">
        <v>8117</v>
      </c>
      <c r="C3502" s="5" t="s">
        <v>24</v>
      </c>
      <c r="D3502" s="5" t="s">
        <v>18</v>
      </c>
      <c r="E3502" s="5" t="s">
        <v>79</v>
      </c>
      <c r="F3502" s="9">
        <v>11</v>
      </c>
      <c r="G3502" s="9">
        <v>127</v>
      </c>
      <c r="H3502" s="5" t="s">
        <v>20</v>
      </c>
      <c r="I3502" s="5" t="s">
        <v>8118</v>
      </c>
      <c r="J3502" s="12" t="str">
        <f>HYPERLINK("https://www.boe.es/gazeta/dias/1807/01/30/pdfs/GMD-1807-11.pdf#page=11","Abrir facsímil")</f>
        <v>Abrir facsímil</v>
      </c>
      <c r="K3502" s="15" t="s">
        <v>22</v>
      </c>
    </row>
    <row r="3503" spans="1:11" ht="42" customHeight="1">
      <c r="A3503" s="4" t="s">
        <v>8117</v>
      </c>
      <c r="B3503" s="5" t="s">
        <v>8117</v>
      </c>
      <c r="C3503" s="5" t="s">
        <v>24</v>
      </c>
      <c r="D3503" s="5" t="s">
        <v>18</v>
      </c>
      <c r="E3503" s="5" t="s">
        <v>208</v>
      </c>
      <c r="F3503" s="9">
        <v>42</v>
      </c>
      <c r="G3503" s="9">
        <v>505</v>
      </c>
      <c r="H3503" s="5" t="s">
        <v>20</v>
      </c>
      <c r="I3503" s="5" t="s">
        <v>8119</v>
      </c>
      <c r="J3503" s="12" t="str">
        <f>HYPERLINK("https://www.boe.es/gazeta/dias/1807/05/15/pdfs/GMD-1807-42.pdf#page=11","Abrir facsímil")</f>
        <v>Abrir facsímil</v>
      </c>
      <c r="K3503" s="15" t="s">
        <v>22</v>
      </c>
    </row>
    <row r="3504" spans="1:11" ht="42" customHeight="1">
      <c r="A3504" s="4" t="s">
        <v>8117</v>
      </c>
      <c r="B3504" s="5" t="s">
        <v>8117</v>
      </c>
      <c r="C3504" s="5" t="s">
        <v>28</v>
      </c>
      <c r="D3504" s="5" t="s">
        <v>29</v>
      </c>
      <c r="E3504" s="5" t="s">
        <v>221</v>
      </c>
      <c r="F3504" s="9">
        <v>73</v>
      </c>
      <c r="G3504" s="9">
        <v>848</v>
      </c>
      <c r="H3504" s="5" t="s">
        <v>20</v>
      </c>
      <c r="I3504" s="5" t="s">
        <v>8120</v>
      </c>
      <c r="J3504" s="12" t="str">
        <f>HYPERLINK("https://www.boe.es/gazeta/dias/1807/08/14/pdfs/GMD-1807-73.pdf#page=12","Abrir facsímil")</f>
        <v>Abrir facsímil</v>
      </c>
      <c r="K3504" s="15" t="s">
        <v>22</v>
      </c>
    </row>
    <row r="3505" spans="1:11" ht="42" customHeight="1">
      <c r="A3505" s="4" t="s">
        <v>8117</v>
      </c>
      <c r="B3505" s="5" t="s">
        <v>8117</v>
      </c>
      <c r="C3505" s="5" t="s">
        <v>34</v>
      </c>
      <c r="D3505" s="5" t="s">
        <v>35</v>
      </c>
      <c r="E3505" s="5" t="s">
        <v>444</v>
      </c>
      <c r="F3505" s="9">
        <v>95</v>
      </c>
      <c r="G3505" s="9">
        <v>1106</v>
      </c>
      <c r="H3505" s="5" t="s">
        <v>20</v>
      </c>
      <c r="I3505" s="5" t="s">
        <v>8121</v>
      </c>
      <c r="J3505" s="12" t="str">
        <f>HYPERLINK("https://www.boe.es/gazeta/dias/1807/10/23/pdfs/GMD-1807-95.pdf#page=10","Abrir facsímil")</f>
        <v>Abrir facsímil</v>
      </c>
      <c r="K3505" s="15" t="s">
        <v>22</v>
      </c>
    </row>
    <row r="3506" spans="1:11" ht="42" customHeight="1">
      <c r="A3506" s="4" t="s">
        <v>8122</v>
      </c>
      <c r="B3506" s="5" t="s">
        <v>8122</v>
      </c>
      <c r="C3506" s="5" t="s">
        <v>24</v>
      </c>
      <c r="D3506" s="5" t="s">
        <v>18</v>
      </c>
      <c r="E3506" s="5" t="s">
        <v>25</v>
      </c>
      <c r="F3506" s="9">
        <v>45</v>
      </c>
      <c r="G3506" s="9">
        <v>541</v>
      </c>
      <c r="H3506" s="5" t="s">
        <v>20</v>
      </c>
      <c r="I3506" s="5" t="s">
        <v>8123</v>
      </c>
      <c r="J3506" s="12" t="str">
        <f>HYPERLINK("https://www.boe.es/gazeta/dias/1807/05/26/pdfs/GMD-1807-45.pdf#page=11","Abrir facsímil")</f>
        <v>Abrir facsímil</v>
      </c>
      <c r="K3506" s="15" t="s">
        <v>22</v>
      </c>
    </row>
    <row r="3507" spans="1:11" ht="42" customHeight="1">
      <c r="A3507" s="4" t="s">
        <v>8124</v>
      </c>
      <c r="B3507" s="5" t="s">
        <v>8124</v>
      </c>
      <c r="C3507" s="5" t="s">
        <v>34</v>
      </c>
      <c r="D3507" s="5" t="s">
        <v>35</v>
      </c>
      <c r="E3507" s="5" t="s">
        <v>507</v>
      </c>
      <c r="F3507" s="9">
        <v>48</v>
      </c>
      <c r="G3507" s="9">
        <v>570</v>
      </c>
      <c r="H3507" s="5" t="s">
        <v>20</v>
      </c>
      <c r="I3507" s="5" t="s">
        <v>8125</v>
      </c>
      <c r="J3507" s="12" t="str">
        <f>HYPERLINK("https://www.boe.es/gazeta/dias/1807/06/05/pdfs/GMD-1807-48.pdf#page=8","Abrir facsímil")</f>
        <v>Abrir facsímil</v>
      </c>
      <c r="K3507" s="15" t="s">
        <v>22</v>
      </c>
    </row>
    <row r="3508" spans="1:11" ht="42" customHeight="1">
      <c r="A3508" s="4" t="s">
        <v>8126</v>
      </c>
      <c r="B3508" s="5" t="s">
        <v>8127</v>
      </c>
      <c r="C3508" s="5" t="s">
        <v>34</v>
      </c>
      <c r="D3508" s="5" t="s">
        <v>35</v>
      </c>
      <c r="E3508" s="5" t="s">
        <v>254</v>
      </c>
      <c r="F3508" s="9" t="s">
        <v>255</v>
      </c>
      <c r="G3508" s="9">
        <v>789</v>
      </c>
      <c r="H3508" s="5" t="s">
        <v>20</v>
      </c>
      <c r="I3508" s="5" t="s">
        <v>8128</v>
      </c>
      <c r="J3508" s="12" t="str">
        <f>HYPERLINK("https://www.boe.es/gazeta/dias/1807/08/02/pdfs/GMD-1807-69E.pdf#page=1","Abrir facsímil")</f>
        <v>Abrir facsímil</v>
      </c>
      <c r="K3508" s="15" t="s">
        <v>22</v>
      </c>
    </row>
    <row r="3509" spans="1:11" ht="42" customHeight="1">
      <c r="A3509" s="4" t="s">
        <v>8129</v>
      </c>
      <c r="B3509" s="5" t="s">
        <v>8130</v>
      </c>
      <c r="C3509" s="5" t="s">
        <v>49</v>
      </c>
      <c r="D3509" s="5" t="s">
        <v>50</v>
      </c>
      <c r="E3509" s="5" t="s">
        <v>441</v>
      </c>
      <c r="F3509" s="9">
        <v>92</v>
      </c>
      <c r="G3509" s="9">
        <v>1065</v>
      </c>
      <c r="H3509" s="5" t="s">
        <v>20</v>
      </c>
      <c r="I3509" s="5" t="s">
        <v>8131</v>
      </c>
      <c r="J3509" s="12" t="str">
        <f>HYPERLINK("https://www.boe.es/gazeta/dias/1807/10/13/pdfs/GMD-1807-92.pdf#page=5","Abrir facsímil")</f>
        <v>Abrir facsímil</v>
      </c>
      <c r="K3509" s="15" t="s">
        <v>22</v>
      </c>
    </row>
    <row r="3510" spans="1:11" ht="42" customHeight="1">
      <c r="A3510" s="4" t="s">
        <v>8132</v>
      </c>
      <c r="B3510" s="5" t="s">
        <v>8133</v>
      </c>
      <c r="C3510" s="5" t="s">
        <v>49</v>
      </c>
      <c r="D3510" s="5" t="s">
        <v>50</v>
      </c>
      <c r="E3510" s="5" t="s">
        <v>464</v>
      </c>
      <c r="F3510" s="9">
        <v>18</v>
      </c>
      <c r="G3510" s="9">
        <v>201</v>
      </c>
      <c r="H3510" s="5" t="s">
        <v>20</v>
      </c>
      <c r="I3510" s="5" t="s">
        <v>8134</v>
      </c>
      <c r="J3510" s="12" t="str">
        <f>HYPERLINK("https://www.boe.es/gazeta/dias/1807/02/24/pdfs/GMD-1807-18.pdf#page=1","Abrir facsímil")</f>
        <v>Abrir facsímil</v>
      </c>
      <c r="K3510" s="15" t="s">
        <v>22</v>
      </c>
    </row>
    <row r="3511" spans="1:11" ht="42" customHeight="1">
      <c r="A3511" s="4" t="s">
        <v>8135</v>
      </c>
      <c r="B3511" s="5" t="s">
        <v>8136</v>
      </c>
      <c r="C3511" s="5" t="s">
        <v>17</v>
      </c>
      <c r="D3511" s="5" t="s">
        <v>18</v>
      </c>
      <c r="E3511" s="5" t="s">
        <v>561</v>
      </c>
      <c r="F3511" s="9">
        <v>44</v>
      </c>
      <c r="G3511" s="9">
        <v>524</v>
      </c>
      <c r="H3511" s="5" t="s">
        <v>20</v>
      </c>
      <c r="I3511" s="5" t="s">
        <v>8137</v>
      </c>
      <c r="J3511" s="12" t="str">
        <f>HYPERLINK("https://www.boe.es/gazeta/dias/1807/05/22/pdfs/GMD-1807-44.pdf#page=6","Abrir facsímil")</f>
        <v>Abrir facsímil</v>
      </c>
      <c r="K3511" s="15" t="s">
        <v>22</v>
      </c>
    </row>
    <row r="3512" spans="1:11" ht="42" customHeight="1">
      <c r="A3512" s="4" t="s">
        <v>8138</v>
      </c>
      <c r="B3512" s="5" t="s">
        <v>8138</v>
      </c>
      <c r="C3512" s="5" t="s">
        <v>34</v>
      </c>
      <c r="D3512" s="5" t="s">
        <v>35</v>
      </c>
      <c r="E3512" s="5" t="s">
        <v>109</v>
      </c>
      <c r="F3512" s="9">
        <v>58</v>
      </c>
      <c r="G3512" s="9">
        <v>688</v>
      </c>
      <c r="H3512" s="5" t="s">
        <v>20</v>
      </c>
      <c r="I3512" s="5" t="s">
        <v>8139</v>
      </c>
      <c r="J3512" s="12" t="str">
        <f>HYPERLINK("https://www.boe.es/gazeta/dias/1807/07/07/pdfs/GMD-1807-58.pdf#page=6","Abrir facsímil")</f>
        <v>Abrir facsímil</v>
      </c>
      <c r="K3512" s="15" t="s">
        <v>22</v>
      </c>
    </row>
    <row r="3513" spans="1:11" ht="42" customHeight="1">
      <c r="A3513" s="4" t="s">
        <v>8140</v>
      </c>
      <c r="B3513" s="5" t="s">
        <v>8140</v>
      </c>
      <c r="C3513" s="5" t="s">
        <v>28</v>
      </c>
      <c r="D3513" s="5" t="s">
        <v>29</v>
      </c>
      <c r="E3513" s="5" t="s">
        <v>471</v>
      </c>
      <c r="F3513" s="9">
        <v>51</v>
      </c>
      <c r="G3513" s="9">
        <v>606</v>
      </c>
      <c r="H3513" s="5" t="s">
        <v>20</v>
      </c>
      <c r="I3513" s="5" t="s">
        <v>8141</v>
      </c>
      <c r="J3513" s="12" t="str">
        <f>HYPERLINK("https://www.boe.es/gazeta/dias/1807/06/16/pdfs/GMD-1807-51.pdf#page=8","Abrir facsímil")</f>
        <v>Abrir facsímil</v>
      </c>
      <c r="K3513" s="15" t="s">
        <v>22</v>
      </c>
    </row>
    <row r="3514" spans="1:11" ht="42" customHeight="1">
      <c r="A3514" s="4" t="s">
        <v>8142</v>
      </c>
      <c r="B3514" s="5" t="s">
        <v>8143</v>
      </c>
      <c r="C3514" s="5" t="s">
        <v>49</v>
      </c>
      <c r="D3514" s="5" t="s">
        <v>50</v>
      </c>
      <c r="E3514" s="5" t="s">
        <v>176</v>
      </c>
      <c r="F3514" s="9">
        <v>17</v>
      </c>
      <c r="G3514" s="9">
        <v>191</v>
      </c>
      <c r="H3514" s="5" t="s">
        <v>20</v>
      </c>
      <c r="I3514" s="5" t="s">
        <v>8144</v>
      </c>
      <c r="J3514" s="12" t="str">
        <f>HYPERLINK("https://www.boe.es/gazeta/dias/1807/02/20/pdfs/GMD-1807-17.pdf#page=3","Abrir facsímil")</f>
        <v>Abrir facsímil</v>
      </c>
      <c r="K3514" s="15" t="s">
        <v>22</v>
      </c>
    </row>
    <row r="3515" spans="1:11" ht="42" customHeight="1">
      <c r="A3515" s="4" t="s">
        <v>8145</v>
      </c>
      <c r="B3515" s="5" t="s">
        <v>8145</v>
      </c>
      <c r="C3515" s="5" t="s">
        <v>28</v>
      </c>
      <c r="D3515" s="5" t="s">
        <v>29</v>
      </c>
      <c r="E3515" s="5" t="s">
        <v>86</v>
      </c>
      <c r="F3515" s="9">
        <v>12</v>
      </c>
      <c r="G3515" s="9">
        <v>136</v>
      </c>
      <c r="H3515" s="5" t="s">
        <v>20</v>
      </c>
      <c r="I3515" s="5" t="s">
        <v>8146</v>
      </c>
      <c r="J3515" s="12" t="str">
        <f>HYPERLINK("https://www.boe.es/gazeta/dias/1807/02/03/pdfs/GMD-1807-12.pdf#page=8","Abrir facsímil")</f>
        <v>Abrir facsímil</v>
      </c>
      <c r="K3515" s="15" t="s">
        <v>22</v>
      </c>
    </row>
    <row r="3516" spans="1:11" ht="42" customHeight="1">
      <c r="A3516" s="4" t="s">
        <v>8147</v>
      </c>
      <c r="B3516" s="5" t="s">
        <v>8148</v>
      </c>
      <c r="C3516" s="5" t="s">
        <v>34</v>
      </c>
      <c r="D3516" s="5" t="s">
        <v>35</v>
      </c>
      <c r="E3516" s="5" t="s">
        <v>620</v>
      </c>
      <c r="F3516" s="9">
        <v>84</v>
      </c>
      <c r="G3516" s="9">
        <v>981</v>
      </c>
      <c r="H3516" s="5" t="s">
        <v>20</v>
      </c>
      <c r="I3516" s="5" t="s">
        <v>8149</v>
      </c>
      <c r="J3516" s="12" t="str">
        <f>HYPERLINK("https://www.boe.es/gazeta/dias/1807/09/22/pdfs/GMD-1807-84.pdf#page=9","Abrir facsímil")</f>
        <v>Abrir facsímil</v>
      </c>
      <c r="K3516" s="15" t="s">
        <v>22</v>
      </c>
    </row>
    <row r="3517" spans="1:11" ht="42" customHeight="1">
      <c r="A3517" s="4" t="s">
        <v>8150</v>
      </c>
      <c r="B3517" s="5" t="s">
        <v>8151</v>
      </c>
      <c r="C3517" s="5" t="s">
        <v>28</v>
      </c>
      <c r="D3517" s="5" t="s">
        <v>29</v>
      </c>
      <c r="E3517" s="5" t="s">
        <v>208</v>
      </c>
      <c r="F3517" s="9">
        <v>42</v>
      </c>
      <c r="G3517" s="9">
        <v>504</v>
      </c>
      <c r="H3517" s="5" t="s">
        <v>20</v>
      </c>
      <c r="I3517" s="5" t="s">
        <v>8152</v>
      </c>
      <c r="J3517" s="12" t="str">
        <f>HYPERLINK("https://www.boe.es/gazeta/dias/1807/05/15/pdfs/GMD-1807-42.pdf#page=10","Abrir facsímil")</f>
        <v>Abrir facsímil</v>
      </c>
      <c r="K3517" s="15" t="s">
        <v>22</v>
      </c>
    </row>
    <row r="3518" spans="1:11" ht="42" customHeight="1">
      <c r="A3518" s="4" t="s">
        <v>8153</v>
      </c>
      <c r="B3518" s="5" t="s">
        <v>8154</v>
      </c>
      <c r="C3518" s="5" t="s">
        <v>28</v>
      </c>
      <c r="D3518" s="5" t="s">
        <v>29</v>
      </c>
      <c r="E3518" s="5" t="s">
        <v>104</v>
      </c>
      <c r="F3518" s="9">
        <v>25</v>
      </c>
      <c r="G3518" s="9">
        <v>302</v>
      </c>
      <c r="H3518" s="5" t="s">
        <v>20</v>
      </c>
      <c r="I3518" s="5" t="s">
        <v>8155</v>
      </c>
      <c r="J3518" s="12" t="str">
        <f>HYPERLINK("https://www.boe.es/gazeta/dias/1807/03/17/pdfs/GMD-1807-25.pdf#page=10","Abrir facsímil")</f>
        <v>Abrir facsímil</v>
      </c>
      <c r="K3518" s="15" t="s">
        <v>22</v>
      </c>
    </row>
    <row r="3519" spans="1:11" ht="42" customHeight="1">
      <c r="A3519" s="4" t="s">
        <v>8153</v>
      </c>
      <c r="B3519" s="5" t="s">
        <v>8154</v>
      </c>
      <c r="C3519" s="5" t="s">
        <v>28</v>
      </c>
      <c r="D3519" s="5" t="s">
        <v>29</v>
      </c>
      <c r="E3519" s="5" t="s">
        <v>53</v>
      </c>
      <c r="F3519" s="9">
        <v>64</v>
      </c>
      <c r="G3519" s="9">
        <v>749</v>
      </c>
      <c r="H3519" s="5" t="s">
        <v>20</v>
      </c>
      <c r="I3519" s="5" t="s">
        <v>8156</v>
      </c>
      <c r="J3519" s="12" t="str">
        <f>HYPERLINK("https://www.boe.es/gazeta/dias/1807/07/21/pdfs/GMD-1807-64.pdf#page=11","Abrir facsímil")</f>
        <v>Abrir facsímil</v>
      </c>
      <c r="K3519" s="15" t="s">
        <v>22</v>
      </c>
    </row>
    <row r="3520" spans="1:11" ht="42" customHeight="1">
      <c r="A3520" s="4" t="s">
        <v>8157</v>
      </c>
      <c r="B3520" s="5" t="s">
        <v>8158</v>
      </c>
      <c r="C3520" s="5" t="s">
        <v>17</v>
      </c>
      <c r="D3520" s="5" t="s">
        <v>18</v>
      </c>
      <c r="E3520" s="5" t="s">
        <v>471</v>
      </c>
      <c r="F3520" s="9">
        <v>51</v>
      </c>
      <c r="G3520" s="9">
        <v>605</v>
      </c>
      <c r="H3520" s="5" t="s">
        <v>20</v>
      </c>
      <c r="I3520" s="5" t="s">
        <v>8159</v>
      </c>
      <c r="J3520" s="12" t="str">
        <f>HYPERLINK("https://www.boe.es/gazeta/dias/1807/06/16/pdfs/GMD-1807-51.pdf#page=7","Abrir facsímil")</f>
        <v>Abrir facsímil</v>
      </c>
      <c r="K3520" s="15" t="s">
        <v>22</v>
      </c>
    </row>
    <row r="3521" spans="1:11" ht="42" customHeight="1">
      <c r="A3521" s="4" t="s">
        <v>8160</v>
      </c>
      <c r="B3521" s="5" t="s">
        <v>8161</v>
      </c>
      <c r="C3521" s="5" t="s">
        <v>49</v>
      </c>
      <c r="D3521" s="5" t="s">
        <v>50</v>
      </c>
      <c r="E3521" s="5" t="s">
        <v>393</v>
      </c>
      <c r="F3521" s="9">
        <v>15</v>
      </c>
      <c r="G3521" s="9">
        <v>171</v>
      </c>
      <c r="H3521" s="5" t="s">
        <v>20</v>
      </c>
      <c r="I3521" s="5" t="s">
        <v>8162</v>
      </c>
      <c r="J3521" s="12" t="str">
        <f>HYPERLINK("https://www.boe.es/gazeta/dias/1807/02/13/pdfs/GMD-1807-15.pdf#page=7","Abrir facsímil")</f>
        <v>Abrir facsímil</v>
      </c>
      <c r="K3521" s="15" t="s">
        <v>22</v>
      </c>
    </row>
    <row r="3522" spans="1:11" ht="42" customHeight="1">
      <c r="A3522" s="4" t="s">
        <v>8163</v>
      </c>
      <c r="B3522" s="5" t="s">
        <v>8164</v>
      </c>
      <c r="C3522" s="5" t="s">
        <v>89</v>
      </c>
      <c r="D3522" s="5" t="s">
        <v>90</v>
      </c>
      <c r="E3522" s="5" t="s">
        <v>444</v>
      </c>
      <c r="F3522" s="9">
        <v>95</v>
      </c>
      <c r="G3522" s="9">
        <v>1108</v>
      </c>
      <c r="H3522" s="5" t="s">
        <v>20</v>
      </c>
      <c r="I3522" s="5" t="s">
        <v>8165</v>
      </c>
      <c r="J3522" s="12" t="str">
        <f>HYPERLINK("https://www.boe.es/gazeta/dias/1807/10/23/pdfs/GMD-1807-95.pdf#page=12","Abrir facsímil")</f>
        <v>Abrir facsímil</v>
      </c>
      <c r="K3522" s="15" t="s">
        <v>22</v>
      </c>
    </row>
    <row r="3523" spans="1:11" ht="42" customHeight="1">
      <c r="A3523" s="4" t="s">
        <v>8166</v>
      </c>
      <c r="B3523" s="5" t="s">
        <v>8167</v>
      </c>
      <c r="C3523" s="5" t="s">
        <v>69</v>
      </c>
      <c r="D3523" s="5" t="s">
        <v>70</v>
      </c>
      <c r="E3523" s="5" t="s">
        <v>71</v>
      </c>
      <c r="F3523" s="9">
        <v>35</v>
      </c>
      <c r="G3523" s="9" t="s">
        <v>2055</v>
      </c>
      <c r="H3523" s="5" t="s">
        <v>20</v>
      </c>
      <c r="I3523" s="5" t="s">
        <v>8168</v>
      </c>
      <c r="J3523" s="12" t="str">
        <f>HYPERLINK("https://www.boe.es/gazeta/dias/1807/04/21/pdfs/C00001-00004.pdf#page=2","Abrir facsímil")</f>
        <v>Abrir facsímil</v>
      </c>
      <c r="K3523" s="15" t="s">
        <v>22</v>
      </c>
    </row>
    <row r="3524" spans="1:11" ht="42" customHeight="1">
      <c r="A3524" s="4" t="s">
        <v>8169</v>
      </c>
      <c r="B3524" s="5" t="s">
        <v>8169</v>
      </c>
      <c r="C3524" s="5" t="s">
        <v>34</v>
      </c>
      <c r="D3524" s="5" t="s">
        <v>35</v>
      </c>
      <c r="E3524" s="5" t="s">
        <v>275</v>
      </c>
      <c r="F3524" s="9">
        <v>104</v>
      </c>
      <c r="G3524" s="9">
        <v>1208</v>
      </c>
      <c r="H3524" s="5" t="s">
        <v>20</v>
      </c>
      <c r="I3524" s="5" t="s">
        <v>8170</v>
      </c>
      <c r="J3524" s="12" t="str">
        <f>HYPERLINK("https://www.boe.es/gazeta/dias/1807/11/24/pdfs/GMD-1807-104.pdf#page=4","Abrir facsímil")</f>
        <v>Abrir facsímil</v>
      </c>
      <c r="K3524" s="15" t="s">
        <v>22</v>
      </c>
    </row>
    <row r="3525" spans="1:11" ht="42" customHeight="1">
      <c r="A3525" s="4" t="s">
        <v>8171</v>
      </c>
      <c r="B3525" s="5" t="s">
        <v>8172</v>
      </c>
      <c r="C3525" s="5" t="s">
        <v>17</v>
      </c>
      <c r="D3525" s="5" t="s">
        <v>18</v>
      </c>
      <c r="E3525" s="5" t="s">
        <v>620</v>
      </c>
      <c r="F3525" s="9">
        <v>84</v>
      </c>
      <c r="G3525" s="9">
        <v>981</v>
      </c>
      <c r="H3525" s="5" t="s">
        <v>20</v>
      </c>
      <c r="I3525" s="5" t="s">
        <v>8173</v>
      </c>
      <c r="J3525" s="12" t="str">
        <f>HYPERLINK("https://www.boe.es/gazeta/dias/1807/09/22/pdfs/GMD-1807-84.pdf#page=9","Abrir facsímil")</f>
        <v>Abrir facsímil</v>
      </c>
      <c r="K3525" s="15" t="s">
        <v>22</v>
      </c>
    </row>
    <row r="3526" spans="1:11" ht="42" customHeight="1">
      <c r="A3526" s="4" t="s">
        <v>8174</v>
      </c>
      <c r="B3526" s="5" t="s">
        <v>8174</v>
      </c>
      <c r="C3526" s="5" t="s">
        <v>49</v>
      </c>
      <c r="D3526" s="5" t="s">
        <v>50</v>
      </c>
      <c r="E3526" s="5" t="s">
        <v>65</v>
      </c>
      <c r="F3526" s="9">
        <v>52</v>
      </c>
      <c r="G3526" s="9">
        <v>615</v>
      </c>
      <c r="H3526" s="5" t="s">
        <v>20</v>
      </c>
      <c r="I3526" s="5" t="s">
        <v>8175</v>
      </c>
      <c r="J3526" s="12" t="str">
        <f>HYPERLINK("https://www.boe.es/gazeta/dias/1807/06/19/pdfs/GMD-1807-52.pdf#page=5","Abrir facsímil")</f>
        <v>Abrir facsímil</v>
      </c>
      <c r="K3526" s="15" t="s">
        <v>22</v>
      </c>
    </row>
    <row r="3527" spans="1:11" ht="42" customHeight="1">
      <c r="A3527" s="4" t="s">
        <v>8176</v>
      </c>
      <c r="B3527" s="5" t="s">
        <v>8177</v>
      </c>
      <c r="C3527" s="5" t="s">
        <v>34</v>
      </c>
      <c r="D3527" s="5" t="s">
        <v>35</v>
      </c>
      <c r="E3527" s="5" t="s">
        <v>25</v>
      </c>
      <c r="F3527" s="9">
        <v>45</v>
      </c>
      <c r="G3527" s="9">
        <v>536</v>
      </c>
      <c r="H3527" s="5" t="s">
        <v>20</v>
      </c>
      <c r="I3527" s="5" t="s">
        <v>8178</v>
      </c>
      <c r="J3527" s="12" t="str">
        <f>HYPERLINK("https://www.boe.es/gazeta/dias/1807/05/26/pdfs/GMD-1807-45.pdf#page=6","Abrir facsímil")</f>
        <v>Abrir facsímil</v>
      </c>
      <c r="K3527" s="15" t="s">
        <v>22</v>
      </c>
    </row>
    <row r="3528" spans="1:11" ht="42" customHeight="1">
      <c r="A3528" s="4" t="s">
        <v>8176</v>
      </c>
      <c r="B3528" s="5" t="s">
        <v>8177</v>
      </c>
      <c r="C3528" s="5" t="s">
        <v>34</v>
      </c>
      <c r="D3528" s="5" t="s">
        <v>35</v>
      </c>
      <c r="E3528" s="5" t="s">
        <v>156</v>
      </c>
      <c r="F3528" s="9">
        <v>74</v>
      </c>
      <c r="G3528" s="9">
        <v>856</v>
      </c>
      <c r="H3528" s="5" t="s">
        <v>20</v>
      </c>
      <c r="I3528" s="5" t="s">
        <v>8179</v>
      </c>
      <c r="J3528" s="12" t="str">
        <f>HYPERLINK("https://www.boe.es/gazeta/dias/1807/08/18/pdfs/GMD-1807-74.pdf#page=8","Abrir facsímil")</f>
        <v>Abrir facsímil</v>
      </c>
      <c r="K3528" s="15" t="s">
        <v>22</v>
      </c>
    </row>
    <row r="3529" spans="1:11" ht="42" customHeight="1">
      <c r="A3529" s="4" t="s">
        <v>8180</v>
      </c>
      <c r="B3529" s="5" t="s">
        <v>8181</v>
      </c>
      <c r="C3529" s="5" t="s">
        <v>28</v>
      </c>
      <c r="D3529" s="5" t="s">
        <v>29</v>
      </c>
      <c r="E3529" s="5" t="s">
        <v>208</v>
      </c>
      <c r="F3529" s="9">
        <v>42</v>
      </c>
      <c r="G3529" s="9">
        <v>505</v>
      </c>
      <c r="H3529" s="5" t="s">
        <v>20</v>
      </c>
      <c r="I3529" s="5" t="s">
        <v>8182</v>
      </c>
      <c r="J3529" s="12" t="str">
        <f>HYPERLINK("https://www.boe.es/gazeta/dias/1807/05/15/pdfs/GMD-1807-42.pdf#page=11","Abrir facsímil")</f>
        <v>Abrir facsímil</v>
      </c>
      <c r="K3529" s="15" t="s">
        <v>22</v>
      </c>
    </row>
    <row r="3530" spans="1:11" ht="42" customHeight="1">
      <c r="A3530" s="4" t="s">
        <v>8183</v>
      </c>
      <c r="B3530" s="5" t="s">
        <v>8184</v>
      </c>
      <c r="C3530" s="5" t="s">
        <v>34</v>
      </c>
      <c r="D3530" s="5" t="s">
        <v>35</v>
      </c>
      <c r="E3530" s="5" t="s">
        <v>929</v>
      </c>
      <c r="F3530" s="9">
        <v>85</v>
      </c>
      <c r="G3530" s="9">
        <v>991</v>
      </c>
      <c r="H3530" s="5" t="s">
        <v>20</v>
      </c>
      <c r="I3530" s="5" t="s">
        <v>8185</v>
      </c>
      <c r="J3530" s="12" t="str">
        <f>HYPERLINK("https://www.boe.es/gazeta/dias/1807/09/25/pdfs/GMD-1807-85.pdf#page=7","Abrir facsímil")</f>
        <v>Abrir facsímil</v>
      </c>
      <c r="K3530" s="15" t="s">
        <v>22</v>
      </c>
    </row>
    <row r="3531" spans="1:11" ht="42" customHeight="1">
      <c r="A3531" s="4" t="s">
        <v>8186</v>
      </c>
      <c r="B3531" s="5" t="s">
        <v>8187</v>
      </c>
      <c r="C3531" s="5" t="s">
        <v>28</v>
      </c>
      <c r="D3531" s="5" t="s">
        <v>29</v>
      </c>
      <c r="E3531" s="5" t="s">
        <v>346</v>
      </c>
      <c r="F3531" s="9">
        <v>21</v>
      </c>
      <c r="G3531" s="9">
        <v>245</v>
      </c>
      <c r="H3531" s="5" t="s">
        <v>20</v>
      </c>
      <c r="I3531" s="5" t="s">
        <v>8188</v>
      </c>
      <c r="J3531" s="12" t="str">
        <f>HYPERLINK("https://www.boe.es/gazeta/dias/1807/03/03/pdfs/GMD-1807-21.pdf#page=9","Abrir facsímil")</f>
        <v>Abrir facsímil</v>
      </c>
      <c r="K3531" s="15" t="s">
        <v>22</v>
      </c>
    </row>
    <row r="3532" spans="1:11" ht="42" customHeight="1">
      <c r="A3532" s="4" t="s">
        <v>8186</v>
      </c>
      <c r="B3532" s="5" t="s">
        <v>8187</v>
      </c>
      <c r="C3532" s="5" t="s">
        <v>28</v>
      </c>
      <c r="D3532" s="5" t="s">
        <v>29</v>
      </c>
      <c r="E3532" s="5" t="s">
        <v>346</v>
      </c>
      <c r="F3532" s="9">
        <v>21</v>
      </c>
      <c r="G3532" s="9">
        <v>246</v>
      </c>
      <c r="H3532" s="5" t="s">
        <v>20</v>
      </c>
      <c r="I3532" s="5" t="s">
        <v>8189</v>
      </c>
      <c r="J3532" s="12" t="str">
        <f>HYPERLINK("https://www.boe.es/gazeta/dias/1807/03/03/pdfs/GMD-1807-21.pdf#page=10","Abrir facsímil")</f>
        <v>Abrir facsímil</v>
      </c>
      <c r="K3532" s="15" t="s">
        <v>22</v>
      </c>
    </row>
    <row r="3533" spans="1:11" ht="42" customHeight="1">
      <c r="A3533" s="4" t="s">
        <v>8190</v>
      </c>
      <c r="B3533" s="5" t="s">
        <v>8190</v>
      </c>
      <c r="C3533" s="5" t="s">
        <v>34</v>
      </c>
      <c r="D3533" s="5" t="s">
        <v>35</v>
      </c>
      <c r="E3533" s="5" t="s">
        <v>595</v>
      </c>
      <c r="F3533" s="9">
        <v>59</v>
      </c>
      <c r="G3533" s="9">
        <v>700</v>
      </c>
      <c r="H3533" s="5" t="s">
        <v>20</v>
      </c>
      <c r="I3533" s="5" t="s">
        <v>8191</v>
      </c>
      <c r="J3533" s="12" t="str">
        <f>HYPERLINK("https://www.boe.es/gazeta/dias/1807/07/10/pdfs/GMD-1807-59.pdf#page=6","Abrir facsímil")</f>
        <v>Abrir facsímil</v>
      </c>
      <c r="K3533" s="15" t="s">
        <v>22</v>
      </c>
    </row>
    <row r="3534" spans="1:11" ht="42" customHeight="1">
      <c r="A3534" s="4" t="s">
        <v>8192</v>
      </c>
      <c r="B3534" s="5" t="s">
        <v>8193</v>
      </c>
      <c r="C3534" s="5" t="s">
        <v>34</v>
      </c>
      <c r="D3534" s="5" t="s">
        <v>35</v>
      </c>
      <c r="E3534" s="5" t="s">
        <v>615</v>
      </c>
      <c r="F3534" s="9" t="s">
        <v>616</v>
      </c>
      <c r="G3534" s="9">
        <v>999</v>
      </c>
      <c r="H3534" s="5" t="s">
        <v>20</v>
      </c>
      <c r="I3534" s="5" t="s">
        <v>8194</v>
      </c>
      <c r="J3534" s="12" t="str">
        <f>HYPERLINK("https://www.boe.es/gazeta/dias/1807/09/27/pdfs/GMD-1807-86E.pdf#page=3","Abrir facsímil")</f>
        <v>Abrir facsímil</v>
      </c>
      <c r="K3534" s="15" t="s">
        <v>22</v>
      </c>
    </row>
    <row r="3535" spans="1:11" ht="42" customHeight="1">
      <c r="A3535" s="4" t="s">
        <v>8195</v>
      </c>
      <c r="B3535" s="5" t="s">
        <v>8196</v>
      </c>
      <c r="C3535" s="5" t="s">
        <v>28</v>
      </c>
      <c r="D3535" s="5" t="s">
        <v>29</v>
      </c>
      <c r="E3535" s="5" t="s">
        <v>98</v>
      </c>
      <c r="F3535" s="9">
        <v>34</v>
      </c>
      <c r="G3535" s="9">
        <v>399</v>
      </c>
      <c r="H3535" s="5" t="s">
        <v>20</v>
      </c>
      <c r="I3535" s="5" t="s">
        <v>8197</v>
      </c>
      <c r="J3535" s="12" t="str">
        <f>HYPERLINK("https://www.boe.es/gazeta/dias/1807/04/17/pdfs/GMD-1807-34.pdf#page=3","Abrir facsímil")</f>
        <v>Abrir facsímil</v>
      </c>
      <c r="K3535" s="15" t="s">
        <v>22</v>
      </c>
    </row>
    <row r="3536" spans="1:11" ht="42" customHeight="1">
      <c r="A3536" s="4" t="s">
        <v>8198</v>
      </c>
      <c r="B3536" s="5" t="s">
        <v>8199</v>
      </c>
      <c r="C3536" s="5" t="s">
        <v>89</v>
      </c>
      <c r="D3536" s="5" t="s">
        <v>90</v>
      </c>
      <c r="E3536" s="5" t="s">
        <v>507</v>
      </c>
      <c r="F3536" s="9">
        <v>48</v>
      </c>
      <c r="G3536" s="9">
        <v>573</v>
      </c>
      <c r="H3536" s="5" t="s">
        <v>20</v>
      </c>
      <c r="I3536" s="5" t="s">
        <v>8200</v>
      </c>
      <c r="J3536" s="12" t="str">
        <f>HYPERLINK("https://www.boe.es/gazeta/dias/1807/06/05/pdfs/GMD-1807-48.pdf#page=11","Abrir facsímil")</f>
        <v>Abrir facsímil</v>
      </c>
      <c r="K3536" s="15" t="s">
        <v>22</v>
      </c>
    </row>
    <row r="3537" spans="1:11" ht="42" customHeight="1">
      <c r="A3537" s="4" t="s">
        <v>8201</v>
      </c>
      <c r="B3537" s="5" t="s">
        <v>8202</v>
      </c>
      <c r="C3537" s="5" t="s">
        <v>34</v>
      </c>
      <c r="D3537" s="5" t="s">
        <v>35</v>
      </c>
      <c r="E3537" s="5" t="s">
        <v>309</v>
      </c>
      <c r="F3537" s="9">
        <v>107</v>
      </c>
      <c r="G3537" s="9">
        <v>1247</v>
      </c>
      <c r="H3537" s="5" t="s">
        <v>20</v>
      </c>
      <c r="I3537" s="5" t="s">
        <v>8203</v>
      </c>
      <c r="J3537" s="12" t="str">
        <f>HYPERLINK("https://www.boe.es/gazeta/dias/1807/12/01/pdfs/GMD-1807-107.pdf#page=7","Abrir facsímil")</f>
        <v>Abrir facsímil</v>
      </c>
      <c r="K3537" s="15" t="s">
        <v>22</v>
      </c>
    </row>
    <row r="3538" spans="1:11" ht="42" customHeight="1">
      <c r="A3538" s="4" t="s">
        <v>8204</v>
      </c>
      <c r="B3538" s="5" t="s">
        <v>8205</v>
      </c>
      <c r="C3538" s="5" t="s">
        <v>28</v>
      </c>
      <c r="D3538" s="5" t="s">
        <v>29</v>
      </c>
      <c r="E3538" s="5" t="s">
        <v>418</v>
      </c>
      <c r="F3538" s="9">
        <v>4</v>
      </c>
      <c r="G3538" s="9">
        <v>38</v>
      </c>
      <c r="H3538" s="5" t="s">
        <v>20</v>
      </c>
      <c r="I3538" s="5" t="s">
        <v>8206</v>
      </c>
      <c r="J3538" s="12" t="str">
        <f>HYPERLINK("https://www.boe.es/gazeta/dias/1807/01/13/pdfs/GMD-1807-4.pdf#page=6","Abrir facsímil")</f>
        <v>Abrir facsímil</v>
      </c>
      <c r="K3538" s="15" t="s">
        <v>22</v>
      </c>
    </row>
    <row r="3539" spans="1:11" ht="42" customHeight="1">
      <c r="A3539" s="4" t="s">
        <v>8207</v>
      </c>
      <c r="B3539" s="5" t="s">
        <v>8207</v>
      </c>
      <c r="C3539" s="5" t="s">
        <v>89</v>
      </c>
      <c r="D3539" s="5" t="s">
        <v>90</v>
      </c>
      <c r="E3539" s="5" t="s">
        <v>1354</v>
      </c>
      <c r="F3539" s="9">
        <v>83</v>
      </c>
      <c r="G3539" s="9">
        <v>971</v>
      </c>
      <c r="H3539" s="5" t="s">
        <v>20</v>
      </c>
      <c r="I3539" s="5" t="s">
        <v>8208</v>
      </c>
      <c r="J3539" s="12" t="str">
        <f>HYPERLINK("https://www.boe.es/gazeta/dias/1807/09/18/pdfs/GMD-1807-83.pdf#page=11","Abrir facsímil")</f>
        <v>Abrir facsímil</v>
      </c>
      <c r="K3539" s="15" t="s">
        <v>22</v>
      </c>
    </row>
    <row r="3540" spans="1:11" ht="42" customHeight="1">
      <c r="A3540" s="4" t="s">
        <v>8209</v>
      </c>
      <c r="B3540" s="5" t="s">
        <v>8210</v>
      </c>
      <c r="C3540" s="5" t="s">
        <v>34</v>
      </c>
      <c r="D3540" s="5" t="s">
        <v>35</v>
      </c>
      <c r="E3540" s="5" t="s">
        <v>266</v>
      </c>
      <c r="F3540" s="9">
        <v>67</v>
      </c>
      <c r="G3540" s="9">
        <v>775</v>
      </c>
      <c r="H3540" s="5" t="s">
        <v>20</v>
      </c>
      <c r="I3540" s="5" t="s">
        <v>8211</v>
      </c>
      <c r="J3540" s="12" t="str">
        <f>HYPERLINK("https://www.boe.es/gazeta/dias/1807/07/28/pdfs/GMD-1807-67.pdf#page=11","Abrir facsímil")</f>
        <v>Abrir facsímil</v>
      </c>
      <c r="K3540" s="15" t="s">
        <v>22</v>
      </c>
    </row>
    <row r="3541" spans="1:11" ht="42" customHeight="1">
      <c r="A3541" s="4" t="s">
        <v>8209</v>
      </c>
      <c r="B3541" s="5" t="s">
        <v>8210</v>
      </c>
      <c r="C3541" s="5" t="s">
        <v>34</v>
      </c>
      <c r="D3541" s="5" t="s">
        <v>35</v>
      </c>
      <c r="E3541" s="5" t="s">
        <v>221</v>
      </c>
      <c r="F3541" s="9">
        <v>73</v>
      </c>
      <c r="G3541" s="9">
        <v>847</v>
      </c>
      <c r="H3541" s="5" t="s">
        <v>20</v>
      </c>
      <c r="I3541" s="5" t="s">
        <v>8212</v>
      </c>
      <c r="J3541" s="12" t="str">
        <f>HYPERLINK("https://www.boe.es/gazeta/dias/1807/08/14/pdfs/GMD-1807-73.pdf#page=11","Abrir facsímil")</f>
        <v>Abrir facsímil</v>
      </c>
      <c r="K3541" s="15" t="s">
        <v>22</v>
      </c>
    </row>
    <row r="3542" spans="1:11" ht="42" customHeight="1">
      <c r="A3542" s="4" t="s">
        <v>8209</v>
      </c>
      <c r="B3542" s="5" t="s">
        <v>8210</v>
      </c>
      <c r="C3542" s="5" t="s">
        <v>34</v>
      </c>
      <c r="D3542" s="5" t="s">
        <v>35</v>
      </c>
      <c r="E3542" s="5" t="s">
        <v>406</v>
      </c>
      <c r="F3542" s="9">
        <v>82</v>
      </c>
      <c r="G3542" s="9">
        <v>959</v>
      </c>
      <c r="H3542" s="5" t="s">
        <v>20</v>
      </c>
      <c r="I3542" s="5" t="s">
        <v>8213</v>
      </c>
      <c r="J3542" s="12" t="str">
        <f>HYPERLINK("https://www.boe.es/gazeta/dias/1807/09/15/pdfs/GMD-1807-82.pdf#page=11","Abrir facsímil")</f>
        <v>Abrir facsímil</v>
      </c>
      <c r="K3542" s="15" t="s">
        <v>22</v>
      </c>
    </row>
    <row r="3543" spans="1:11" ht="42" customHeight="1">
      <c r="A3543" s="4" t="s">
        <v>8209</v>
      </c>
      <c r="B3543" s="5" t="s">
        <v>8210</v>
      </c>
      <c r="C3543" s="5" t="s">
        <v>34</v>
      </c>
      <c r="D3543" s="5" t="s">
        <v>35</v>
      </c>
      <c r="E3543" s="5" t="s">
        <v>441</v>
      </c>
      <c r="F3543" s="9">
        <v>92</v>
      </c>
      <c r="G3543" s="9">
        <v>1071</v>
      </c>
      <c r="H3543" s="5" t="s">
        <v>20</v>
      </c>
      <c r="I3543" s="5" t="s">
        <v>8214</v>
      </c>
      <c r="J3543" s="12" t="str">
        <f>HYPERLINK("https://www.boe.es/gazeta/dias/1807/10/13/pdfs/GMD-1807-92.pdf#page=11","Abrir facsímil")</f>
        <v>Abrir facsímil</v>
      </c>
      <c r="K3543" s="15" t="s">
        <v>22</v>
      </c>
    </row>
    <row r="3544" spans="1:11" ht="42" customHeight="1">
      <c r="A3544" s="4" t="s">
        <v>8215</v>
      </c>
      <c r="B3544" s="5" t="s">
        <v>8216</v>
      </c>
      <c r="C3544" s="5" t="s">
        <v>34</v>
      </c>
      <c r="D3544" s="5" t="s">
        <v>35</v>
      </c>
      <c r="E3544" s="5" t="s">
        <v>111</v>
      </c>
      <c r="F3544" s="9">
        <v>90</v>
      </c>
      <c r="G3544" s="9">
        <v>1044</v>
      </c>
      <c r="H3544" s="5" t="s">
        <v>20</v>
      </c>
      <c r="I3544" s="5" t="s">
        <v>8217</v>
      </c>
      <c r="J3544" s="12" t="str">
        <f>HYPERLINK("https://www.boe.es/gazeta/dias/1807/10/06/pdfs/GMD-1807-90.pdf#page=12","Abrir facsímil")</f>
        <v>Abrir facsímil</v>
      </c>
      <c r="K3544" s="15" t="s">
        <v>22</v>
      </c>
    </row>
    <row r="3545" spans="1:11" ht="42" customHeight="1">
      <c r="A3545" s="4" t="s">
        <v>8218</v>
      </c>
      <c r="B3545" s="5" t="s">
        <v>8219</v>
      </c>
      <c r="C3545" s="5" t="s">
        <v>28</v>
      </c>
      <c r="D3545" s="5" t="s">
        <v>29</v>
      </c>
      <c r="E3545" s="5" t="s">
        <v>346</v>
      </c>
      <c r="F3545" s="9">
        <v>21</v>
      </c>
      <c r="G3545" s="9">
        <v>245</v>
      </c>
      <c r="H3545" s="5" t="s">
        <v>20</v>
      </c>
      <c r="I3545" s="5" t="s">
        <v>8220</v>
      </c>
      <c r="J3545" s="12" t="str">
        <f>HYPERLINK("https://www.boe.es/gazeta/dias/1807/03/03/pdfs/GMD-1807-21.pdf#page=9","Abrir facsímil")</f>
        <v>Abrir facsímil</v>
      </c>
      <c r="K3545" s="15" t="s">
        <v>22</v>
      </c>
    </row>
    <row r="3546" spans="1:11" ht="42" customHeight="1">
      <c r="A3546" s="4" t="s">
        <v>8221</v>
      </c>
      <c r="B3546" s="5" t="s">
        <v>8222</v>
      </c>
      <c r="C3546" s="5" t="s">
        <v>34</v>
      </c>
      <c r="D3546" s="5" t="s">
        <v>35</v>
      </c>
      <c r="E3546" s="5" t="s">
        <v>319</v>
      </c>
      <c r="F3546" s="9">
        <v>54</v>
      </c>
      <c r="G3546" s="9">
        <v>645</v>
      </c>
      <c r="H3546" s="5" t="s">
        <v>20</v>
      </c>
      <c r="I3546" s="5" t="s">
        <v>8223</v>
      </c>
      <c r="J3546" s="12" t="str">
        <f>HYPERLINK("https://www.boe.es/gazeta/dias/1807/06/26/pdfs/GMD-1807-54.pdf#page=7","Abrir facsímil")</f>
        <v>Abrir facsímil</v>
      </c>
      <c r="K3546" s="15" t="s">
        <v>22</v>
      </c>
    </row>
    <row r="3547" spans="1:11" ht="42" customHeight="1">
      <c r="A3547" s="4" t="s">
        <v>8224</v>
      </c>
      <c r="B3547" s="5" t="s">
        <v>8224</v>
      </c>
      <c r="C3547" s="5" t="s">
        <v>17</v>
      </c>
      <c r="D3547" s="5" t="s">
        <v>18</v>
      </c>
      <c r="E3547" s="5" t="s">
        <v>296</v>
      </c>
      <c r="F3547" s="9">
        <v>102</v>
      </c>
      <c r="G3547" s="9">
        <v>1183</v>
      </c>
      <c r="H3547" s="5" t="s">
        <v>20</v>
      </c>
      <c r="I3547" s="5" t="s">
        <v>8225</v>
      </c>
      <c r="J3547" s="12" t="str">
        <f>HYPERLINK("https://www.boe.es/gazeta/dias/1807/11/17/pdfs/GMD-1807-102.pdf#page=3","Abrir facsímil")</f>
        <v>Abrir facsímil</v>
      </c>
      <c r="K3547" s="15" t="s">
        <v>22</v>
      </c>
    </row>
    <row r="3548" spans="1:11" ht="42" customHeight="1">
      <c r="A3548" s="4" t="s">
        <v>8224</v>
      </c>
      <c r="B3548" s="5" t="s">
        <v>8224</v>
      </c>
      <c r="C3548" s="5" t="s">
        <v>28</v>
      </c>
      <c r="D3548" s="5" t="s">
        <v>29</v>
      </c>
      <c r="E3548" s="5" t="s">
        <v>327</v>
      </c>
      <c r="F3548" s="9">
        <v>108</v>
      </c>
      <c r="G3548" s="9">
        <v>1254</v>
      </c>
      <c r="H3548" s="5" t="s">
        <v>20</v>
      </c>
      <c r="I3548" s="5" t="s">
        <v>8226</v>
      </c>
      <c r="J3548" s="12" t="str">
        <f>HYPERLINK("https://www.boe.es/gazeta/dias/1807/12/04/pdfs/GMD-1807-108.pdf#page=2","Abrir facsímil")</f>
        <v>Abrir facsímil</v>
      </c>
      <c r="K3548" s="15" t="s">
        <v>22</v>
      </c>
    </row>
    <row r="3549" spans="1:11" ht="42" customHeight="1">
      <c r="A3549" s="4" t="s">
        <v>8227</v>
      </c>
      <c r="B3549" s="5" t="s">
        <v>8228</v>
      </c>
      <c r="C3549" s="5" t="s">
        <v>28</v>
      </c>
      <c r="D3549" s="5" t="s">
        <v>29</v>
      </c>
      <c r="E3549" s="5" t="s">
        <v>346</v>
      </c>
      <c r="F3549" s="9">
        <v>21</v>
      </c>
      <c r="G3549" s="9">
        <v>246</v>
      </c>
      <c r="H3549" s="5" t="s">
        <v>20</v>
      </c>
      <c r="I3549" s="5" t="s">
        <v>8229</v>
      </c>
      <c r="J3549" s="12" t="str">
        <f>HYPERLINK("https://www.boe.es/gazeta/dias/1807/03/03/pdfs/GMD-1807-21.pdf#page=10","Abrir facsímil")</f>
        <v>Abrir facsímil</v>
      </c>
      <c r="K3549" s="15" t="s">
        <v>22</v>
      </c>
    </row>
    <row r="3550" spans="1:11" ht="42" customHeight="1">
      <c r="A3550" s="4" t="s">
        <v>8230</v>
      </c>
      <c r="B3550" s="5" t="s">
        <v>8231</v>
      </c>
      <c r="C3550" s="5" t="s">
        <v>89</v>
      </c>
      <c r="D3550" s="5" t="s">
        <v>90</v>
      </c>
      <c r="E3550" s="5" t="s">
        <v>65</v>
      </c>
      <c r="F3550" s="9">
        <v>52</v>
      </c>
      <c r="G3550" s="9">
        <v>625</v>
      </c>
      <c r="H3550" s="5" t="s">
        <v>20</v>
      </c>
      <c r="I3550" s="5" t="s">
        <v>8232</v>
      </c>
      <c r="J3550" s="12" t="str">
        <f>HYPERLINK("https://www.boe.es/gazeta/dias/1807/06/19/pdfs/GMD-1807-52.pdf#page=15","Abrir facsímil")</f>
        <v>Abrir facsímil</v>
      </c>
      <c r="K3550" s="15" t="s">
        <v>22</v>
      </c>
    </row>
    <row r="3551" spans="1:11" ht="42" customHeight="1">
      <c r="A3551" s="4" t="s">
        <v>8233</v>
      </c>
      <c r="B3551" s="5" t="s">
        <v>8234</v>
      </c>
      <c r="C3551" s="5" t="s">
        <v>34</v>
      </c>
      <c r="D3551" s="5" t="s">
        <v>35</v>
      </c>
      <c r="E3551" s="5" t="s">
        <v>152</v>
      </c>
      <c r="F3551" s="9">
        <v>61</v>
      </c>
      <c r="G3551" s="9">
        <v>720</v>
      </c>
      <c r="H3551" s="5" t="s">
        <v>20</v>
      </c>
      <c r="I3551" s="5" t="s">
        <v>8235</v>
      </c>
      <c r="J3551" s="12" t="str">
        <f>HYPERLINK("https://www.boe.es/gazeta/dias/1807/07/14/pdfs/GMD-1807-61.pdf#page=6","Abrir facsímil")</f>
        <v>Abrir facsímil</v>
      </c>
      <c r="K3551" s="15" t="s">
        <v>22</v>
      </c>
    </row>
    <row r="3552" spans="1:11" ht="42" customHeight="1">
      <c r="A3552" s="4" t="s">
        <v>8236</v>
      </c>
      <c r="B3552" s="5" t="s">
        <v>8236</v>
      </c>
      <c r="C3552" s="5" t="s">
        <v>49</v>
      </c>
      <c r="D3552" s="5" t="s">
        <v>50</v>
      </c>
      <c r="E3552" s="5" t="s">
        <v>426</v>
      </c>
      <c r="F3552" s="9">
        <v>93</v>
      </c>
      <c r="G3552" s="9">
        <v>1076</v>
      </c>
      <c r="H3552" s="5" t="s">
        <v>20</v>
      </c>
      <c r="I3552" s="5" t="s">
        <v>8237</v>
      </c>
      <c r="J3552" s="12" t="str">
        <f>HYPERLINK("https://www.boe.es/gazeta/dias/1807/10/16/pdfs/GMD-1807-93.pdf#page=4","Abrir facsímil")</f>
        <v>Abrir facsímil</v>
      </c>
      <c r="K3552" s="15" t="s">
        <v>22</v>
      </c>
    </row>
    <row r="3553" spans="1:11" ht="42" customHeight="1">
      <c r="A3553" s="4" t="s">
        <v>8238</v>
      </c>
      <c r="B3553" s="5" t="s">
        <v>8239</v>
      </c>
      <c r="C3553" s="5" t="s">
        <v>34</v>
      </c>
      <c r="D3553" s="5" t="s">
        <v>35</v>
      </c>
      <c r="E3553" s="5" t="s">
        <v>441</v>
      </c>
      <c r="F3553" s="9">
        <v>92</v>
      </c>
      <c r="G3553" s="9">
        <v>1068</v>
      </c>
      <c r="H3553" s="5" t="s">
        <v>20</v>
      </c>
      <c r="I3553" s="5" t="s">
        <v>8240</v>
      </c>
      <c r="J3553" s="12" t="str">
        <f>HYPERLINK("https://www.boe.es/gazeta/dias/1807/10/13/pdfs/GMD-1807-92.pdf#page=8","Abrir facsímil")</f>
        <v>Abrir facsímil</v>
      </c>
      <c r="K3553" s="15" t="s">
        <v>22</v>
      </c>
    </row>
    <row r="3554" spans="1:11" ht="42" customHeight="1">
      <c r="A3554" s="4" t="s">
        <v>8241</v>
      </c>
      <c r="B3554" s="5" t="s">
        <v>8241</v>
      </c>
      <c r="C3554" s="5" t="s">
        <v>49</v>
      </c>
      <c r="D3554" s="5" t="s">
        <v>50</v>
      </c>
      <c r="E3554" s="5" t="s">
        <v>221</v>
      </c>
      <c r="F3554" s="9">
        <v>73</v>
      </c>
      <c r="G3554" s="9">
        <v>838</v>
      </c>
      <c r="H3554" s="5" t="s">
        <v>20</v>
      </c>
      <c r="I3554" s="5" t="s">
        <v>8242</v>
      </c>
      <c r="J3554" s="12" t="str">
        <f>HYPERLINK("https://www.boe.es/gazeta/dias/1807/08/14/pdfs/GMD-1807-73.pdf#page=2","Abrir facsímil")</f>
        <v>Abrir facsímil</v>
      </c>
      <c r="K3554" s="15" t="s">
        <v>22</v>
      </c>
    </row>
    <row r="3555" spans="1:11" ht="42" customHeight="1">
      <c r="A3555" s="4" t="s">
        <v>8243</v>
      </c>
      <c r="B3555" s="5" t="s">
        <v>8244</v>
      </c>
      <c r="C3555" s="5" t="s">
        <v>49</v>
      </c>
      <c r="D3555" s="5" t="s">
        <v>50</v>
      </c>
      <c r="E3555" s="5" t="s">
        <v>464</v>
      </c>
      <c r="F3555" s="9">
        <v>18</v>
      </c>
      <c r="G3555" s="9">
        <v>202</v>
      </c>
      <c r="H3555" s="5" t="s">
        <v>20</v>
      </c>
      <c r="I3555" s="5" t="s">
        <v>8245</v>
      </c>
      <c r="J3555" s="12" t="str">
        <f>HYPERLINK("https://www.boe.es/gazeta/dias/1807/02/24/pdfs/GMD-1807-18.pdf#page=2","Abrir facsímil")</f>
        <v>Abrir facsímil</v>
      </c>
      <c r="K3555" s="15" t="s">
        <v>22</v>
      </c>
    </row>
    <row r="3556" spans="1:11" ht="42" customHeight="1">
      <c r="A3556" s="4" t="s">
        <v>8246</v>
      </c>
      <c r="B3556" s="5" t="s">
        <v>8246</v>
      </c>
      <c r="C3556" s="5" t="s">
        <v>28</v>
      </c>
      <c r="D3556" s="5" t="s">
        <v>29</v>
      </c>
      <c r="E3556" s="5" t="s">
        <v>149</v>
      </c>
      <c r="F3556" s="9">
        <v>38</v>
      </c>
      <c r="G3556" s="9">
        <v>454</v>
      </c>
      <c r="H3556" s="5" t="s">
        <v>20</v>
      </c>
      <c r="I3556" s="5" t="s">
        <v>8247</v>
      </c>
      <c r="J3556" s="12" t="str">
        <f>HYPERLINK("https://www.boe.es/gazeta/dias/1807/05/01/pdfs/GMD-1807-38.pdf#page=10","Abrir facsímil")</f>
        <v>Abrir facsímil</v>
      </c>
      <c r="K3556" s="15" t="s">
        <v>22</v>
      </c>
    </row>
    <row r="3557" spans="1:11" ht="42" customHeight="1">
      <c r="A3557" s="4" t="s">
        <v>8248</v>
      </c>
      <c r="B3557" s="5" t="s">
        <v>8249</v>
      </c>
      <c r="C3557" s="5" t="s">
        <v>34</v>
      </c>
      <c r="D3557" s="5" t="s">
        <v>35</v>
      </c>
      <c r="E3557" s="5" t="s">
        <v>314</v>
      </c>
      <c r="F3557" s="9" t="s">
        <v>315</v>
      </c>
      <c r="G3557" s="9">
        <v>1221</v>
      </c>
      <c r="H3557" s="5" t="s">
        <v>20</v>
      </c>
      <c r="I3557" s="5" t="s">
        <v>8250</v>
      </c>
      <c r="J3557" s="12" t="str">
        <f>HYPERLINK("https://www.boe.es/gazeta/dias/1807/11/26/pdfs/GMD-1807-105E.pdf#page=5","Abrir facsímil")</f>
        <v>Abrir facsímil</v>
      </c>
      <c r="K3557" s="15" t="s">
        <v>22</v>
      </c>
    </row>
    <row r="3558" spans="1:11" ht="42" customHeight="1">
      <c r="A3558" s="4" t="s">
        <v>8251</v>
      </c>
      <c r="B3558" s="5" t="s">
        <v>8252</v>
      </c>
      <c r="C3558" s="5" t="s">
        <v>49</v>
      </c>
      <c r="D3558" s="5" t="s">
        <v>50</v>
      </c>
      <c r="E3558" s="5" t="s">
        <v>76</v>
      </c>
      <c r="F3558" s="9">
        <v>7</v>
      </c>
      <c r="G3558" s="9">
        <v>70</v>
      </c>
      <c r="H3558" s="5" t="s">
        <v>20</v>
      </c>
      <c r="I3558" s="5" t="s">
        <v>8253</v>
      </c>
      <c r="J3558" s="12" t="str">
        <f>HYPERLINK("https://www.boe.es/gazeta/dias/1807/01/20/pdfs/GMD-1807-7.pdf#page=2","Abrir facsímil")</f>
        <v>Abrir facsímil</v>
      </c>
      <c r="K3558" s="15" t="s">
        <v>22</v>
      </c>
    </row>
    <row r="3559" spans="1:11" ht="42" customHeight="1">
      <c r="A3559" s="4" t="s">
        <v>8254</v>
      </c>
      <c r="B3559" s="5" t="s">
        <v>8255</v>
      </c>
      <c r="C3559" s="5" t="s">
        <v>49</v>
      </c>
      <c r="D3559" s="5" t="s">
        <v>50</v>
      </c>
      <c r="E3559" s="5" t="s">
        <v>270</v>
      </c>
      <c r="F3559" s="9">
        <v>8</v>
      </c>
      <c r="G3559" s="9">
        <v>86</v>
      </c>
      <c r="H3559" s="5" t="s">
        <v>20</v>
      </c>
      <c r="I3559" s="5" t="s">
        <v>8256</v>
      </c>
      <c r="J3559" s="12" t="str">
        <f>HYPERLINK("https://www.boe.es/gazeta/dias/1807/01/23/pdfs/GMD-1807-8.pdf#page=2","Abrir facsímil")</f>
        <v>Abrir facsímil</v>
      </c>
      <c r="K3559" s="15" t="s">
        <v>22</v>
      </c>
    </row>
    <row r="3560" spans="1:11" ht="42" customHeight="1">
      <c r="A3560" s="4" t="s">
        <v>8257</v>
      </c>
      <c r="B3560" s="5" t="s">
        <v>8258</v>
      </c>
      <c r="C3560" s="5" t="s">
        <v>34</v>
      </c>
      <c r="D3560" s="5" t="s">
        <v>35</v>
      </c>
      <c r="E3560" s="5" t="s">
        <v>270</v>
      </c>
      <c r="F3560" s="9">
        <v>8</v>
      </c>
      <c r="G3560" s="9">
        <v>87</v>
      </c>
      <c r="H3560" s="5" t="s">
        <v>20</v>
      </c>
      <c r="I3560" s="5" t="s">
        <v>8259</v>
      </c>
      <c r="J3560" s="12" t="str">
        <f>HYPERLINK("https://www.boe.es/gazeta/dias/1807/01/23/pdfs/GMD-1807-8.pdf#page=3","Abrir facsímil")</f>
        <v>Abrir facsímil</v>
      </c>
      <c r="K3560" s="15" t="s">
        <v>22</v>
      </c>
    </row>
    <row r="3561" spans="1:11" ht="42" customHeight="1">
      <c r="A3561" s="4" t="s">
        <v>8254</v>
      </c>
      <c r="B3561" s="5" t="s">
        <v>8255</v>
      </c>
      <c r="C3561" s="5" t="s">
        <v>24</v>
      </c>
      <c r="D3561" s="5" t="s">
        <v>18</v>
      </c>
      <c r="E3561" s="5" t="s">
        <v>120</v>
      </c>
      <c r="F3561" s="9">
        <v>10</v>
      </c>
      <c r="G3561" s="9">
        <v>107</v>
      </c>
      <c r="H3561" s="5" t="s">
        <v>20</v>
      </c>
      <c r="I3561" s="5" t="s">
        <v>8260</v>
      </c>
      <c r="J3561" s="12" t="str">
        <f>HYPERLINK("https://www.boe.es/gazeta/dias/1807/01/27/pdfs/GMD-1807-10.pdf#page=3","Abrir facsímil")</f>
        <v>Abrir facsímil</v>
      </c>
      <c r="K3561" s="15" t="s">
        <v>22</v>
      </c>
    </row>
    <row r="3562" spans="1:11" ht="42" customHeight="1">
      <c r="A3562" s="4" t="s">
        <v>8254</v>
      </c>
      <c r="B3562" s="5" t="s">
        <v>8255</v>
      </c>
      <c r="C3562" s="5" t="s">
        <v>49</v>
      </c>
      <c r="D3562" s="5" t="s">
        <v>50</v>
      </c>
      <c r="E3562" s="5" t="s">
        <v>30</v>
      </c>
      <c r="F3562" s="9">
        <v>13</v>
      </c>
      <c r="G3562" s="9">
        <v>143</v>
      </c>
      <c r="H3562" s="5" t="s">
        <v>20</v>
      </c>
      <c r="I3562" s="5" t="s">
        <v>8261</v>
      </c>
      <c r="J3562" s="12" t="str">
        <f>HYPERLINK("https://www.boe.es/gazeta/dias/1807/02/06/pdfs/GMD-1807-13.pdf#page=3","Abrir facsímil")</f>
        <v>Abrir facsímil</v>
      </c>
      <c r="K3562" s="15" t="s">
        <v>22</v>
      </c>
    </row>
    <row r="3563" spans="1:11" ht="42" customHeight="1">
      <c r="A3563" s="4" t="s">
        <v>8254</v>
      </c>
      <c r="B3563" s="5" t="s">
        <v>8255</v>
      </c>
      <c r="C3563" s="5" t="s">
        <v>49</v>
      </c>
      <c r="D3563" s="5" t="s">
        <v>50</v>
      </c>
      <c r="E3563" s="5" t="s">
        <v>30</v>
      </c>
      <c r="F3563" s="9">
        <v>13</v>
      </c>
      <c r="G3563" s="9">
        <v>148</v>
      </c>
      <c r="H3563" s="5" t="s">
        <v>20</v>
      </c>
      <c r="I3563" s="5" t="s">
        <v>8262</v>
      </c>
      <c r="J3563" s="12" t="str">
        <f>HYPERLINK("https://www.boe.es/gazeta/dias/1807/02/06/pdfs/GMD-1807-13.pdf#page=8","Abrir facsímil")</f>
        <v>Abrir facsímil</v>
      </c>
      <c r="K3563" s="15" t="s">
        <v>22</v>
      </c>
    </row>
    <row r="3564" spans="1:11" ht="42" customHeight="1">
      <c r="A3564" s="4" t="s">
        <v>8254</v>
      </c>
      <c r="B3564" s="5" t="s">
        <v>8255</v>
      </c>
      <c r="C3564" s="5" t="s">
        <v>49</v>
      </c>
      <c r="D3564" s="5" t="s">
        <v>50</v>
      </c>
      <c r="E3564" s="5" t="s">
        <v>393</v>
      </c>
      <c r="F3564" s="9">
        <v>15</v>
      </c>
      <c r="G3564" s="9">
        <v>165</v>
      </c>
      <c r="H3564" s="5" t="s">
        <v>20</v>
      </c>
      <c r="I3564" s="5" t="s">
        <v>8263</v>
      </c>
      <c r="J3564" s="12" t="str">
        <f>HYPERLINK("https://www.boe.es/gazeta/dias/1807/02/13/pdfs/GMD-1807-15.pdf#page=1","Abrir facsímil")</f>
        <v>Abrir facsímil</v>
      </c>
      <c r="K3564" s="15" t="s">
        <v>22</v>
      </c>
    </row>
    <row r="3565" spans="1:11" ht="42" customHeight="1">
      <c r="A3565" s="4" t="s">
        <v>8254</v>
      </c>
      <c r="B3565" s="5" t="s">
        <v>8255</v>
      </c>
      <c r="C3565" s="5" t="s">
        <v>49</v>
      </c>
      <c r="D3565" s="5" t="s">
        <v>50</v>
      </c>
      <c r="E3565" s="5" t="s">
        <v>464</v>
      </c>
      <c r="F3565" s="9">
        <v>18</v>
      </c>
      <c r="G3565" s="9">
        <v>204</v>
      </c>
      <c r="H3565" s="5" t="s">
        <v>20</v>
      </c>
      <c r="I3565" s="5" t="s">
        <v>8264</v>
      </c>
      <c r="J3565" s="12" t="str">
        <f>HYPERLINK("https://www.boe.es/gazeta/dias/1807/02/24/pdfs/GMD-1807-18.pdf#page=4","Abrir facsímil")</f>
        <v>Abrir facsímil</v>
      </c>
      <c r="K3565" s="15" t="s">
        <v>22</v>
      </c>
    </row>
    <row r="3566" spans="1:11" ht="42" customHeight="1">
      <c r="A3566" s="4" t="s">
        <v>8254</v>
      </c>
      <c r="B3566" s="5" t="s">
        <v>8255</v>
      </c>
      <c r="C3566" s="5" t="s">
        <v>252</v>
      </c>
      <c r="D3566" s="5" t="s">
        <v>253</v>
      </c>
      <c r="E3566" s="5" t="s">
        <v>524</v>
      </c>
      <c r="F3566" s="9" t="s">
        <v>525</v>
      </c>
      <c r="G3566" s="9">
        <v>233</v>
      </c>
      <c r="H3566" s="5" t="s">
        <v>20</v>
      </c>
      <c r="I3566" s="5" t="s">
        <v>8265</v>
      </c>
      <c r="J3566" s="12" t="str">
        <f>HYPERLINK("https://www.boe.es/gazeta/dias/1807/03/01/pdfs/GMD-1807-20E.pdf#page=5","Abrir facsímil")</f>
        <v>Abrir facsímil</v>
      </c>
      <c r="K3566" s="15" t="s">
        <v>22</v>
      </c>
    </row>
    <row r="3567" spans="1:11" ht="42" customHeight="1">
      <c r="A3567" s="4" t="s">
        <v>8254</v>
      </c>
      <c r="B3567" s="5" t="s">
        <v>8255</v>
      </c>
      <c r="C3567" s="5" t="s">
        <v>252</v>
      </c>
      <c r="D3567" s="5" t="s">
        <v>253</v>
      </c>
      <c r="E3567" s="5" t="s">
        <v>524</v>
      </c>
      <c r="F3567" s="9" t="s">
        <v>525</v>
      </c>
      <c r="G3567" s="9">
        <v>234</v>
      </c>
      <c r="H3567" s="5" t="s">
        <v>20</v>
      </c>
      <c r="I3567" s="5" t="s">
        <v>8266</v>
      </c>
      <c r="J3567" s="12" t="str">
        <f>HYPERLINK("https://www.boe.es/gazeta/dias/1807/03/01/pdfs/GMD-1807-20E.pdf#page=6","Abrir facsímil")</f>
        <v>Abrir facsímil</v>
      </c>
      <c r="K3567" s="15" t="s">
        <v>22</v>
      </c>
    </row>
    <row r="3568" spans="1:11" ht="42" customHeight="1">
      <c r="A3568" s="4" t="s">
        <v>8267</v>
      </c>
      <c r="B3568" s="5" t="s">
        <v>8268</v>
      </c>
      <c r="C3568" s="5" t="s">
        <v>49</v>
      </c>
      <c r="D3568" s="5" t="s">
        <v>50</v>
      </c>
      <c r="E3568" s="5" t="s">
        <v>393</v>
      </c>
      <c r="F3568" s="9">
        <v>15</v>
      </c>
      <c r="G3568" s="9">
        <v>166</v>
      </c>
      <c r="H3568" s="5" t="s">
        <v>20</v>
      </c>
      <c r="I3568" s="5" t="s">
        <v>8269</v>
      </c>
      <c r="J3568" s="12" t="str">
        <f>HYPERLINK("https://www.boe.es/gazeta/dias/1807/02/13/pdfs/GMD-1807-15.pdf#page=2","Abrir facsímil")</f>
        <v>Abrir facsímil</v>
      </c>
      <c r="K3568" s="15" t="s">
        <v>22</v>
      </c>
    </row>
    <row r="3569" spans="1:11" ht="42" customHeight="1">
      <c r="A3569" s="4" t="s">
        <v>8270</v>
      </c>
      <c r="B3569" s="5" t="s">
        <v>8271</v>
      </c>
      <c r="C3569" s="5" t="s">
        <v>28</v>
      </c>
      <c r="D3569" s="5" t="s">
        <v>29</v>
      </c>
      <c r="E3569" s="5" t="s">
        <v>215</v>
      </c>
      <c r="F3569" s="9">
        <v>5</v>
      </c>
      <c r="G3569" s="9">
        <v>50</v>
      </c>
      <c r="H3569" s="5" t="s">
        <v>20</v>
      </c>
      <c r="I3569" s="5" t="s">
        <v>8272</v>
      </c>
      <c r="J3569" s="12" t="str">
        <f>HYPERLINK("https://www.boe.es/gazeta/dias/1807/01/16/pdfs/GMD-1807-5.pdf#page=6","Abrir facsímil")</f>
        <v>Abrir facsímil</v>
      </c>
      <c r="K3569" s="15" t="s">
        <v>22</v>
      </c>
    </row>
    <row r="3570" spans="1:11" ht="42" customHeight="1">
      <c r="A3570" s="4" t="s">
        <v>8273</v>
      </c>
      <c r="B3570" s="5" t="s">
        <v>8274</v>
      </c>
      <c r="C3570" s="5" t="s">
        <v>34</v>
      </c>
      <c r="D3570" s="5" t="s">
        <v>35</v>
      </c>
      <c r="E3570" s="5" t="s">
        <v>30</v>
      </c>
      <c r="F3570" s="9">
        <v>13</v>
      </c>
      <c r="G3570" s="9">
        <v>149</v>
      </c>
      <c r="H3570" s="5" t="s">
        <v>20</v>
      </c>
      <c r="I3570" s="5" t="s">
        <v>8275</v>
      </c>
      <c r="J3570" s="12" t="str">
        <f>HYPERLINK("https://www.boe.es/gazeta/dias/1807/02/06/pdfs/GMD-1807-13.pdf#page=9","Abrir facsímil")</f>
        <v>Abrir facsímil</v>
      </c>
      <c r="K3570" s="15" t="s">
        <v>22</v>
      </c>
    </row>
    <row r="3571" spans="1:11" ht="42" customHeight="1">
      <c r="A3571" s="4" t="s">
        <v>8276</v>
      </c>
      <c r="B3571" s="5" t="s">
        <v>8276</v>
      </c>
      <c r="C3571" s="5" t="s">
        <v>34</v>
      </c>
      <c r="D3571" s="5" t="s">
        <v>35</v>
      </c>
      <c r="E3571" s="5" t="s">
        <v>36</v>
      </c>
      <c r="F3571" s="9">
        <v>36</v>
      </c>
      <c r="G3571" s="9">
        <v>429</v>
      </c>
      <c r="H3571" s="5" t="s">
        <v>20</v>
      </c>
      <c r="I3571" s="5" t="s">
        <v>8277</v>
      </c>
      <c r="J3571" s="12" t="str">
        <f>HYPERLINK("https://www.boe.es/gazeta/dias/1807/04/24/pdfs/GMD-1807-36.pdf#page=9","Abrir facsímil")</f>
        <v>Abrir facsímil</v>
      </c>
      <c r="K3571" s="15" t="s">
        <v>22</v>
      </c>
    </row>
    <row r="3572" spans="1:11" ht="42" customHeight="1">
      <c r="A3572" s="4" t="s">
        <v>8278</v>
      </c>
      <c r="B3572" s="5" t="s">
        <v>8278</v>
      </c>
      <c r="C3572" s="5" t="s">
        <v>28</v>
      </c>
      <c r="D3572" s="5" t="s">
        <v>29</v>
      </c>
      <c r="E3572" s="5" t="s">
        <v>346</v>
      </c>
      <c r="F3572" s="9">
        <v>21</v>
      </c>
      <c r="G3572" s="9">
        <v>244</v>
      </c>
      <c r="H3572" s="5" t="s">
        <v>20</v>
      </c>
      <c r="I3572" s="5" t="s">
        <v>8279</v>
      </c>
      <c r="J3572" s="12" t="str">
        <f>HYPERLINK("https://www.boe.es/gazeta/dias/1807/03/03/pdfs/GMD-1807-21.pdf#page=8","Abrir facsímil")</f>
        <v>Abrir facsímil</v>
      </c>
      <c r="K3572" s="15" t="s">
        <v>22</v>
      </c>
    </row>
    <row r="3573" spans="1:11" ht="42" customHeight="1">
      <c r="A3573" s="4" t="s">
        <v>8280</v>
      </c>
      <c r="B3573" s="5" t="s">
        <v>8280</v>
      </c>
      <c r="C3573" s="5" t="s">
        <v>24</v>
      </c>
      <c r="D3573" s="5" t="s">
        <v>18</v>
      </c>
      <c r="E3573" s="5" t="s">
        <v>135</v>
      </c>
      <c r="F3573" s="9">
        <v>80</v>
      </c>
      <c r="G3573" s="9">
        <v>932</v>
      </c>
      <c r="H3573" s="5" t="s">
        <v>20</v>
      </c>
      <c r="I3573" s="5" t="s">
        <v>8281</v>
      </c>
      <c r="J3573" s="12" t="str">
        <f>HYPERLINK("https://www.boe.es/gazeta/dias/1807/09/08/pdfs/GMD-1807-80.pdf#page=8","Abrir facsímil")</f>
        <v>Abrir facsímil</v>
      </c>
      <c r="K3573" s="15" t="s">
        <v>22</v>
      </c>
    </row>
    <row r="3574" spans="1:11" ht="42" customHeight="1">
      <c r="A3574" s="4" t="s">
        <v>8282</v>
      </c>
      <c r="B3574" s="5" t="s">
        <v>8282</v>
      </c>
      <c r="C3574" s="5" t="s">
        <v>34</v>
      </c>
      <c r="D3574" s="5" t="s">
        <v>35</v>
      </c>
      <c r="E3574" s="5" t="s">
        <v>498</v>
      </c>
      <c r="F3574" s="9">
        <v>32</v>
      </c>
      <c r="G3574" s="9">
        <v>383</v>
      </c>
      <c r="H3574" s="5" t="s">
        <v>20</v>
      </c>
      <c r="I3574" s="5" t="s">
        <v>8283</v>
      </c>
      <c r="J3574" s="12" t="str">
        <f>HYPERLINK("https://www.boe.es/gazeta/dias/1807/04/10/pdfs/GMD-1807-32.pdf#page=11","Abrir facsímil")</f>
        <v>Abrir facsímil</v>
      </c>
      <c r="K3574" s="15" t="s">
        <v>22</v>
      </c>
    </row>
    <row r="3575" spans="1:11" ht="42" customHeight="1">
      <c r="A3575" s="4" t="s">
        <v>8282</v>
      </c>
      <c r="B3575" s="5" t="s">
        <v>8282</v>
      </c>
      <c r="C3575" s="5" t="s">
        <v>34</v>
      </c>
      <c r="D3575" s="5" t="s">
        <v>35</v>
      </c>
      <c r="E3575" s="5" t="s">
        <v>98</v>
      </c>
      <c r="F3575" s="9">
        <v>34</v>
      </c>
      <c r="G3575" s="9">
        <v>407</v>
      </c>
      <c r="H3575" s="5" t="s">
        <v>20</v>
      </c>
      <c r="I3575" s="5" t="s">
        <v>8284</v>
      </c>
      <c r="J3575" s="12" t="str">
        <f>HYPERLINK("https://www.boe.es/gazeta/dias/1807/04/17/pdfs/GMD-1807-34.pdf#page=11","Abrir facsímil")</f>
        <v>Abrir facsímil</v>
      </c>
      <c r="K3575" s="15" t="s">
        <v>22</v>
      </c>
    </row>
    <row r="3576" spans="1:11" ht="42" customHeight="1">
      <c r="A3576" s="4" t="s">
        <v>8282</v>
      </c>
      <c r="B3576" s="5" t="s">
        <v>8282</v>
      </c>
      <c r="C3576" s="5" t="s">
        <v>34</v>
      </c>
      <c r="D3576" s="5" t="s">
        <v>35</v>
      </c>
      <c r="E3576" s="5" t="s">
        <v>219</v>
      </c>
      <c r="F3576" s="9">
        <v>56</v>
      </c>
      <c r="G3576" s="9">
        <v>672</v>
      </c>
      <c r="H3576" s="5" t="s">
        <v>20</v>
      </c>
      <c r="I3576" s="5" t="s">
        <v>8285</v>
      </c>
      <c r="J3576" s="12" t="str">
        <f>HYPERLINK("https://www.boe.es/gazeta/dias/1807/07/03/pdfs/GMD-1807-56.pdf#page=10","Abrir facsímil")</f>
        <v>Abrir facsímil</v>
      </c>
      <c r="K3576" s="15" t="s">
        <v>22</v>
      </c>
    </row>
    <row r="3577" spans="1:11" ht="42" customHeight="1">
      <c r="A3577" s="4" t="s">
        <v>8282</v>
      </c>
      <c r="B3577" s="5" t="s">
        <v>8282</v>
      </c>
      <c r="C3577" s="5" t="s">
        <v>34</v>
      </c>
      <c r="D3577" s="5" t="s">
        <v>35</v>
      </c>
      <c r="E3577" s="5" t="s">
        <v>266</v>
      </c>
      <c r="F3577" s="9">
        <v>67</v>
      </c>
      <c r="G3577" s="9">
        <v>775</v>
      </c>
      <c r="H3577" s="5" t="s">
        <v>20</v>
      </c>
      <c r="I3577" s="5" t="s">
        <v>8286</v>
      </c>
      <c r="J3577" s="12" t="str">
        <f>HYPERLINK("https://www.boe.es/gazeta/dias/1807/07/28/pdfs/GMD-1807-67.pdf#page=11","Abrir facsímil")</f>
        <v>Abrir facsímil</v>
      </c>
      <c r="K3577" s="15" t="s">
        <v>22</v>
      </c>
    </row>
    <row r="3578" spans="1:11" ht="42" customHeight="1">
      <c r="A3578" s="4" t="s">
        <v>8282</v>
      </c>
      <c r="B3578" s="5" t="s">
        <v>8282</v>
      </c>
      <c r="C3578" s="5" t="s">
        <v>89</v>
      </c>
      <c r="D3578" s="5" t="s">
        <v>90</v>
      </c>
      <c r="E3578" s="5" t="s">
        <v>62</v>
      </c>
      <c r="F3578" s="9">
        <v>68</v>
      </c>
      <c r="G3578" s="9">
        <v>786</v>
      </c>
      <c r="H3578" s="5" t="s">
        <v>20</v>
      </c>
      <c r="I3578" s="5" t="s">
        <v>8287</v>
      </c>
      <c r="J3578" s="12" t="str">
        <f>HYPERLINK("https://www.boe.es/gazeta/dias/1807/07/31/pdfs/GMD-1807-68.pdf#page=10","Abrir facsímil")</f>
        <v>Abrir facsímil</v>
      </c>
      <c r="K3578" s="15" t="s">
        <v>22</v>
      </c>
    </row>
    <row r="3579" spans="1:11" ht="42" customHeight="1">
      <c r="A3579" s="4" t="s">
        <v>8282</v>
      </c>
      <c r="B3579" s="5" t="s">
        <v>8282</v>
      </c>
      <c r="C3579" s="5" t="s">
        <v>34</v>
      </c>
      <c r="D3579" s="5" t="s">
        <v>35</v>
      </c>
      <c r="E3579" s="5" t="s">
        <v>123</v>
      </c>
      <c r="F3579" s="9">
        <v>70</v>
      </c>
      <c r="G3579" s="9">
        <v>807</v>
      </c>
      <c r="H3579" s="5" t="s">
        <v>20</v>
      </c>
      <c r="I3579" s="5" t="s">
        <v>8288</v>
      </c>
      <c r="J3579" s="12" t="str">
        <f>HYPERLINK("https://www.boe.es/gazeta/dias/1807/08/04/pdfs/GMD-1807-70.pdf#page=11","Abrir facsímil")</f>
        <v>Abrir facsímil</v>
      </c>
      <c r="K3579" s="15" t="s">
        <v>22</v>
      </c>
    </row>
    <row r="3580" spans="1:11" ht="42" customHeight="1">
      <c r="A3580" s="4" t="s">
        <v>8282</v>
      </c>
      <c r="B3580" s="5" t="s">
        <v>8282</v>
      </c>
      <c r="C3580" s="5" t="s">
        <v>34</v>
      </c>
      <c r="D3580" s="5" t="s">
        <v>35</v>
      </c>
      <c r="E3580" s="5" t="s">
        <v>135</v>
      </c>
      <c r="F3580" s="9">
        <v>80</v>
      </c>
      <c r="G3580" s="9">
        <v>935</v>
      </c>
      <c r="H3580" s="5" t="s">
        <v>20</v>
      </c>
      <c r="I3580" s="5" t="s">
        <v>8289</v>
      </c>
      <c r="J3580" s="12" t="str">
        <f>HYPERLINK("https://www.boe.es/gazeta/dias/1807/09/08/pdfs/GMD-1807-80.pdf#page=11","Abrir facsímil")</f>
        <v>Abrir facsímil</v>
      </c>
      <c r="K3580" s="15" t="s">
        <v>22</v>
      </c>
    </row>
    <row r="3581" spans="1:11" ht="42" customHeight="1">
      <c r="A3581" s="4" t="s">
        <v>8282</v>
      </c>
      <c r="B3581" s="5" t="s">
        <v>8282</v>
      </c>
      <c r="C3581" s="5" t="s">
        <v>34</v>
      </c>
      <c r="D3581" s="5" t="s">
        <v>35</v>
      </c>
      <c r="E3581" s="5" t="s">
        <v>245</v>
      </c>
      <c r="F3581" s="9">
        <v>97</v>
      </c>
      <c r="G3581" s="9">
        <v>1130</v>
      </c>
      <c r="H3581" s="5" t="s">
        <v>20</v>
      </c>
      <c r="I3581" s="5" t="s">
        <v>8290</v>
      </c>
      <c r="J3581" s="12" t="str">
        <f>HYPERLINK("https://www.boe.es/gazeta/dias/1807/10/30/pdfs/GMD-1807-97.pdf#page=10","Abrir facsímil")</f>
        <v>Abrir facsímil</v>
      </c>
      <c r="K3581" s="15" t="s">
        <v>22</v>
      </c>
    </row>
    <row r="3582" spans="1:11" ht="42" customHeight="1">
      <c r="A3582" s="4" t="s">
        <v>8282</v>
      </c>
      <c r="B3582" s="5" t="s">
        <v>8282</v>
      </c>
      <c r="C3582" s="5" t="s">
        <v>89</v>
      </c>
      <c r="D3582" s="5" t="s">
        <v>90</v>
      </c>
      <c r="E3582" s="5" t="s">
        <v>179</v>
      </c>
      <c r="F3582" s="9">
        <v>100</v>
      </c>
      <c r="G3582" s="9">
        <v>1165</v>
      </c>
      <c r="H3582" s="5" t="s">
        <v>20</v>
      </c>
      <c r="I3582" s="5" t="s">
        <v>8291</v>
      </c>
      <c r="J3582" s="12" t="str">
        <f>HYPERLINK("https://www.boe.es/gazeta/dias/1807/11/10/pdfs/GMD-1807-100.pdf#page=9","Abrir facsímil")</f>
        <v>Abrir facsímil</v>
      </c>
      <c r="K3582" s="15" t="s">
        <v>22</v>
      </c>
    </row>
    <row r="3583" spans="1:11" ht="42" customHeight="1">
      <c r="A3583" s="4" t="s">
        <v>8282</v>
      </c>
      <c r="B3583" s="5" t="s">
        <v>8282</v>
      </c>
      <c r="C3583" s="5" t="s">
        <v>17</v>
      </c>
      <c r="D3583" s="5" t="s">
        <v>18</v>
      </c>
      <c r="E3583" s="5" t="s">
        <v>309</v>
      </c>
      <c r="F3583" s="9">
        <v>107</v>
      </c>
      <c r="G3583" s="9">
        <v>1249</v>
      </c>
      <c r="H3583" s="5" t="s">
        <v>20</v>
      </c>
      <c r="I3583" s="5" t="s">
        <v>8292</v>
      </c>
      <c r="J3583" s="12" t="str">
        <f>HYPERLINK("https://www.boe.es/gazeta/dias/1807/12/01/pdfs/GMD-1807-107.pdf#page=9","Abrir facsímil")</f>
        <v>Abrir facsímil</v>
      </c>
      <c r="K3583" s="15" t="s">
        <v>22</v>
      </c>
    </row>
    <row r="3584" spans="1:11" ht="42" customHeight="1">
      <c r="A3584" s="4" t="s">
        <v>8282</v>
      </c>
      <c r="B3584" s="5" t="s">
        <v>8282</v>
      </c>
      <c r="C3584" s="5" t="s">
        <v>34</v>
      </c>
      <c r="D3584" s="5" t="s">
        <v>35</v>
      </c>
      <c r="E3584" s="5" t="s">
        <v>139</v>
      </c>
      <c r="F3584" s="9">
        <v>110</v>
      </c>
      <c r="G3584" s="9">
        <v>1285</v>
      </c>
      <c r="H3584" s="5" t="s">
        <v>20</v>
      </c>
      <c r="I3584" s="5" t="s">
        <v>8293</v>
      </c>
      <c r="J3584" s="12" t="str">
        <f>HYPERLINK("https://www.boe.es/gazeta/dias/1807/12/11/pdfs/GMD-1807-110.pdf#page=9","Abrir facsímil")</f>
        <v>Abrir facsímil</v>
      </c>
      <c r="K3584" s="15" t="s">
        <v>22</v>
      </c>
    </row>
    <row r="3585" spans="1:11" ht="42" customHeight="1">
      <c r="A3585" s="4" t="s">
        <v>8294</v>
      </c>
      <c r="B3585" s="5" t="s">
        <v>8294</v>
      </c>
      <c r="C3585" s="5" t="s">
        <v>28</v>
      </c>
      <c r="D3585" s="5" t="s">
        <v>29</v>
      </c>
      <c r="E3585" s="5" t="s">
        <v>40</v>
      </c>
      <c r="F3585" s="9">
        <v>26</v>
      </c>
      <c r="G3585" s="9">
        <v>312</v>
      </c>
      <c r="H3585" s="5" t="s">
        <v>20</v>
      </c>
      <c r="I3585" s="5" t="s">
        <v>8295</v>
      </c>
      <c r="J3585" s="12" t="str">
        <f>HYPERLINK("https://www.boe.es/gazeta/dias/1807/03/20/pdfs/GMD-1807-26.pdf#page=8","Abrir facsímil")</f>
        <v>Abrir facsímil</v>
      </c>
      <c r="K3585" s="15" t="s">
        <v>22</v>
      </c>
    </row>
    <row r="3586" spans="1:11" ht="42" customHeight="1">
      <c r="A3586" s="4" t="s">
        <v>8296</v>
      </c>
      <c r="B3586" s="5" t="s">
        <v>8297</v>
      </c>
      <c r="C3586" s="5" t="s">
        <v>28</v>
      </c>
      <c r="D3586" s="5" t="s">
        <v>29</v>
      </c>
      <c r="E3586" s="5" t="s">
        <v>361</v>
      </c>
      <c r="F3586" s="9">
        <v>113</v>
      </c>
      <c r="G3586" s="9">
        <v>1321</v>
      </c>
      <c r="H3586" s="5" t="s">
        <v>20</v>
      </c>
      <c r="I3586" s="5" t="s">
        <v>8298</v>
      </c>
      <c r="J3586" s="12" t="str">
        <f>HYPERLINK("https://www.boe.es/gazeta/dias/1807/12/22/pdfs/GMD-1807-113.pdf#page=9","Abrir facsímil")</f>
        <v>Abrir facsímil</v>
      </c>
      <c r="K3586" s="15" t="s">
        <v>22</v>
      </c>
    </row>
    <row r="3587" spans="1:11" ht="42" customHeight="1">
      <c r="A3587" s="4" t="s">
        <v>8299</v>
      </c>
      <c r="B3587" s="5" t="s">
        <v>8299</v>
      </c>
      <c r="C3587" s="5" t="s">
        <v>49</v>
      </c>
      <c r="D3587" s="5" t="s">
        <v>50</v>
      </c>
      <c r="E3587" s="5" t="s">
        <v>346</v>
      </c>
      <c r="F3587" s="9">
        <v>21</v>
      </c>
      <c r="G3587" s="9">
        <v>238</v>
      </c>
      <c r="H3587" s="5" t="s">
        <v>20</v>
      </c>
      <c r="I3587" s="5" t="s">
        <v>8300</v>
      </c>
      <c r="J3587" s="12" t="str">
        <f>HYPERLINK("https://www.boe.es/gazeta/dias/1807/03/03/pdfs/GMD-1807-21.pdf#page=2","Abrir facsímil")</f>
        <v>Abrir facsímil</v>
      </c>
      <c r="K3587" s="15" t="s">
        <v>22</v>
      </c>
    </row>
    <row r="3588" spans="1:11" ht="42" customHeight="1">
      <c r="A3588" s="4" t="s">
        <v>8299</v>
      </c>
      <c r="B3588" s="5" t="s">
        <v>8299</v>
      </c>
      <c r="C3588" s="5" t="s">
        <v>34</v>
      </c>
      <c r="D3588" s="5" t="s">
        <v>35</v>
      </c>
      <c r="E3588" s="5" t="s">
        <v>266</v>
      </c>
      <c r="F3588" s="9">
        <v>67</v>
      </c>
      <c r="G3588" s="9">
        <v>769</v>
      </c>
      <c r="H3588" s="5" t="s">
        <v>20</v>
      </c>
      <c r="I3588" s="5" t="s">
        <v>8301</v>
      </c>
      <c r="J3588" s="12" t="str">
        <f>HYPERLINK("https://www.boe.es/gazeta/dias/1807/07/28/pdfs/GMD-1807-67.pdf#page=5","Abrir facsímil")</f>
        <v>Abrir facsímil</v>
      </c>
      <c r="K3588" s="15" t="s">
        <v>22</v>
      </c>
    </row>
    <row r="3589" spans="1:11" ht="42" customHeight="1">
      <c r="A3589" s="4" t="s">
        <v>8302</v>
      </c>
      <c r="B3589" s="5" t="s">
        <v>8303</v>
      </c>
      <c r="C3589" s="5" t="s">
        <v>28</v>
      </c>
      <c r="D3589" s="5" t="s">
        <v>29</v>
      </c>
      <c r="E3589" s="5" t="s">
        <v>221</v>
      </c>
      <c r="F3589" s="9">
        <v>73</v>
      </c>
      <c r="G3589" s="9">
        <v>845</v>
      </c>
      <c r="H3589" s="5" t="s">
        <v>20</v>
      </c>
      <c r="I3589" s="5" t="s">
        <v>8304</v>
      </c>
      <c r="J3589" s="12" t="str">
        <f>HYPERLINK("https://www.boe.es/gazeta/dias/1807/08/14/pdfs/GMD-1807-73.pdf#page=9","Abrir facsímil")</f>
        <v>Abrir facsímil</v>
      </c>
      <c r="K3589" s="15" t="s">
        <v>22</v>
      </c>
    </row>
    <row r="3590" spans="1:11" ht="42" customHeight="1">
      <c r="A3590" s="4" t="s">
        <v>8305</v>
      </c>
      <c r="B3590" s="5" t="s">
        <v>8306</v>
      </c>
      <c r="C3590" s="5" t="s">
        <v>49</v>
      </c>
      <c r="D3590" s="5" t="s">
        <v>50</v>
      </c>
      <c r="E3590" s="5" t="s">
        <v>259</v>
      </c>
      <c r="F3590" s="9">
        <v>3</v>
      </c>
      <c r="G3590" s="9">
        <v>23</v>
      </c>
      <c r="H3590" s="5" t="s">
        <v>20</v>
      </c>
      <c r="I3590" s="5" t="s">
        <v>8307</v>
      </c>
      <c r="J3590" s="12" t="str">
        <f>HYPERLINK("https://www.boe.es/gazeta/dias/1807/01/09/pdfs/GMD-1807-3.pdf#page=3","Abrir facsímil")</f>
        <v>Abrir facsímil</v>
      </c>
      <c r="K3590" s="15" t="s">
        <v>22</v>
      </c>
    </row>
    <row r="3591" spans="1:11" ht="42" customHeight="1">
      <c r="A3591" s="4" t="s">
        <v>8308</v>
      </c>
      <c r="B3591" s="5" t="s">
        <v>8308</v>
      </c>
      <c r="C3591" s="5" t="s">
        <v>34</v>
      </c>
      <c r="D3591" s="5" t="s">
        <v>35</v>
      </c>
      <c r="E3591" s="5" t="s">
        <v>245</v>
      </c>
      <c r="F3591" s="9">
        <v>97</v>
      </c>
      <c r="G3591" s="9">
        <v>1128</v>
      </c>
      <c r="H3591" s="5" t="s">
        <v>20</v>
      </c>
      <c r="I3591" s="5" t="s">
        <v>8309</v>
      </c>
      <c r="J3591" s="12" t="str">
        <f>HYPERLINK("https://www.boe.es/gazeta/dias/1807/10/30/pdfs/GMD-1807-97.pdf#page=8","Abrir facsímil")</f>
        <v>Abrir facsímil</v>
      </c>
      <c r="K3591" s="15" t="s">
        <v>22</v>
      </c>
    </row>
    <row r="3592" spans="1:11" ht="42" customHeight="1">
      <c r="A3592" s="4" t="s">
        <v>8310</v>
      </c>
      <c r="B3592" s="5" t="s">
        <v>8311</v>
      </c>
      <c r="C3592" s="5" t="s">
        <v>34</v>
      </c>
      <c r="D3592" s="5" t="s">
        <v>35</v>
      </c>
      <c r="E3592" s="5" t="s">
        <v>666</v>
      </c>
      <c r="F3592" s="9">
        <v>43</v>
      </c>
      <c r="G3592" s="9">
        <v>515</v>
      </c>
      <c r="H3592" s="5" t="s">
        <v>20</v>
      </c>
      <c r="I3592" s="5" t="s">
        <v>8312</v>
      </c>
      <c r="J3592" s="12" t="str">
        <f>HYPERLINK("https://www.boe.es/gazeta/dias/1807/05/19/pdfs/GMD-1807-43.pdf#page=9","Abrir facsímil")</f>
        <v>Abrir facsímil</v>
      </c>
      <c r="K3592" s="15" t="s">
        <v>22</v>
      </c>
    </row>
    <row r="3593" spans="1:11" ht="42" customHeight="1">
      <c r="A3593" s="4" t="s">
        <v>8313</v>
      </c>
      <c r="B3593" s="5" t="s">
        <v>8314</v>
      </c>
      <c r="C3593" s="5" t="s">
        <v>28</v>
      </c>
      <c r="D3593" s="5" t="s">
        <v>29</v>
      </c>
      <c r="E3593" s="5" t="s">
        <v>224</v>
      </c>
      <c r="F3593" s="9">
        <v>91</v>
      </c>
      <c r="G3593" s="9">
        <v>1060</v>
      </c>
      <c r="H3593" s="5" t="s">
        <v>20</v>
      </c>
      <c r="I3593" s="5" t="s">
        <v>8315</v>
      </c>
      <c r="J3593" s="12" t="str">
        <f>HYPERLINK("https://www.boe.es/gazeta/dias/1807/10/09/pdfs/GMD-1807-91.pdf#page=12","Abrir facsímil")</f>
        <v>Abrir facsímil</v>
      </c>
      <c r="K3593" s="15" t="s">
        <v>22</v>
      </c>
    </row>
    <row r="3594" spans="1:11" ht="42" customHeight="1">
      <c r="A3594" s="4" t="s">
        <v>8316</v>
      </c>
      <c r="B3594" s="5" t="s">
        <v>8316</v>
      </c>
      <c r="C3594" s="5" t="s">
        <v>49</v>
      </c>
      <c r="D3594" s="5" t="s">
        <v>50</v>
      </c>
      <c r="E3594" s="5" t="s">
        <v>1934</v>
      </c>
      <c r="F3594" s="9">
        <v>2</v>
      </c>
      <c r="G3594" s="9">
        <v>16</v>
      </c>
      <c r="H3594" s="5" t="s">
        <v>20</v>
      </c>
      <c r="I3594" s="5" t="s">
        <v>8317</v>
      </c>
      <c r="J3594" s="12" t="str">
        <f>HYPERLINK("https://www.boe.es/gazeta/dias/1807/01/06/pdfs/GMD-1807-2.pdf#page=4","Abrir facsímil")</f>
        <v>Abrir facsímil</v>
      </c>
      <c r="K3594" s="15" t="s">
        <v>22</v>
      </c>
    </row>
    <row r="3595" spans="1:11" ht="42" customHeight="1">
      <c r="A3595" s="4" t="s">
        <v>8318</v>
      </c>
      <c r="B3595" s="5" t="s">
        <v>8318</v>
      </c>
      <c r="C3595" s="5" t="s">
        <v>49</v>
      </c>
      <c r="D3595" s="5" t="s">
        <v>50</v>
      </c>
      <c r="E3595" s="5" t="s">
        <v>114</v>
      </c>
      <c r="F3595" s="9">
        <v>46</v>
      </c>
      <c r="G3595" s="9">
        <v>545</v>
      </c>
      <c r="H3595" s="5" t="s">
        <v>20</v>
      </c>
      <c r="I3595" s="5" t="s">
        <v>8319</v>
      </c>
      <c r="J3595" s="12" t="str">
        <f>HYPERLINK("https://www.boe.es/gazeta/dias/1807/05/29/pdfs/GMD-1807-46.pdf#page=3","Abrir facsímil")</f>
        <v>Abrir facsímil</v>
      </c>
      <c r="K3595" s="15" t="s">
        <v>22</v>
      </c>
    </row>
    <row r="3596" spans="1:11" ht="42" customHeight="1">
      <c r="A3596" s="4" t="s">
        <v>8320</v>
      </c>
      <c r="B3596" s="5" t="s">
        <v>8320</v>
      </c>
      <c r="C3596" s="5" t="s">
        <v>28</v>
      </c>
      <c r="D3596" s="5" t="s">
        <v>29</v>
      </c>
      <c r="E3596" s="5" t="s">
        <v>76</v>
      </c>
      <c r="F3596" s="9">
        <v>7</v>
      </c>
      <c r="G3596" s="9">
        <v>73</v>
      </c>
      <c r="H3596" s="5" t="s">
        <v>20</v>
      </c>
      <c r="I3596" s="5" t="s">
        <v>8321</v>
      </c>
      <c r="J3596" s="12" t="str">
        <f>HYPERLINK("https://www.boe.es/gazeta/dias/1807/01/20/pdfs/GMD-1807-7.pdf#page=5","Abrir facsímil")</f>
        <v>Abrir facsímil</v>
      </c>
      <c r="K3596" s="15" t="s">
        <v>22</v>
      </c>
    </row>
    <row r="3597" spans="1:11" ht="42" customHeight="1">
      <c r="A3597" s="4" t="s">
        <v>8322</v>
      </c>
      <c r="B3597" s="5" t="s">
        <v>8322</v>
      </c>
      <c r="C3597" s="5" t="s">
        <v>49</v>
      </c>
      <c r="D3597" s="5" t="s">
        <v>50</v>
      </c>
      <c r="E3597" s="5" t="s">
        <v>114</v>
      </c>
      <c r="F3597" s="9">
        <v>46</v>
      </c>
      <c r="G3597" s="9">
        <v>544</v>
      </c>
      <c r="H3597" s="5" t="s">
        <v>20</v>
      </c>
      <c r="I3597" s="5" t="s">
        <v>8323</v>
      </c>
      <c r="J3597" s="12" t="str">
        <f>HYPERLINK("https://www.boe.es/gazeta/dias/1807/05/29/pdfs/GMD-1807-46.pdf#page=2","Abrir facsímil")</f>
        <v>Abrir facsímil</v>
      </c>
      <c r="K3597" s="15" t="s">
        <v>22</v>
      </c>
    </row>
    <row r="3598" spans="1:11" ht="42" customHeight="1">
      <c r="A3598" s="4" t="s">
        <v>8324</v>
      </c>
      <c r="B3598" s="5" t="s">
        <v>8324</v>
      </c>
      <c r="C3598" s="5" t="s">
        <v>49</v>
      </c>
      <c r="D3598" s="5" t="s">
        <v>50</v>
      </c>
      <c r="E3598" s="5" t="s">
        <v>498</v>
      </c>
      <c r="F3598" s="9">
        <v>32</v>
      </c>
      <c r="G3598" s="9">
        <v>375</v>
      </c>
      <c r="H3598" s="5" t="s">
        <v>20</v>
      </c>
      <c r="I3598" s="5" t="s">
        <v>8325</v>
      </c>
      <c r="J3598" s="12" t="str">
        <f>HYPERLINK("https://www.boe.es/gazeta/dias/1807/04/10/pdfs/GMD-1807-32.pdf#page=3","Abrir facsímil")</f>
        <v>Abrir facsímil</v>
      </c>
      <c r="K3598" s="15" t="s">
        <v>22</v>
      </c>
    </row>
    <row r="3599" spans="1:11" ht="42" customHeight="1">
      <c r="A3599" s="4" t="s">
        <v>8326</v>
      </c>
      <c r="B3599" s="5" t="s">
        <v>8326</v>
      </c>
      <c r="C3599" s="5" t="s">
        <v>28</v>
      </c>
      <c r="D3599" s="5" t="s">
        <v>29</v>
      </c>
      <c r="E3599" s="5" t="s">
        <v>76</v>
      </c>
      <c r="F3599" s="9">
        <v>7</v>
      </c>
      <c r="G3599" s="9">
        <v>73</v>
      </c>
      <c r="H3599" s="5" t="s">
        <v>20</v>
      </c>
      <c r="I3599" s="5" t="s">
        <v>8321</v>
      </c>
      <c r="J3599" s="12" t="str">
        <f>HYPERLINK("https://www.boe.es/gazeta/dias/1807/01/20/pdfs/GMD-1807-7.pdf#page=5","Abrir facsímil")</f>
        <v>Abrir facsímil</v>
      </c>
      <c r="K3599" s="15" t="s">
        <v>22</v>
      </c>
    </row>
    <row r="3600" spans="1:11" ht="42" customHeight="1">
      <c r="A3600" s="4" t="s">
        <v>8327</v>
      </c>
      <c r="B3600" s="5" t="s">
        <v>8327</v>
      </c>
      <c r="C3600" s="5" t="s">
        <v>34</v>
      </c>
      <c r="D3600" s="5" t="s">
        <v>35</v>
      </c>
      <c r="E3600" s="5" t="s">
        <v>186</v>
      </c>
      <c r="F3600" s="9">
        <v>72</v>
      </c>
      <c r="G3600" s="9">
        <v>823</v>
      </c>
      <c r="H3600" s="5" t="s">
        <v>20</v>
      </c>
      <c r="I3600" s="5" t="s">
        <v>8328</v>
      </c>
      <c r="J3600" s="12" t="str">
        <f>HYPERLINK("https://www.boe.es/gazeta/dias/1807/08/11/pdfs/GMD-1807-72.pdf#page=3","Abrir facsímil")</f>
        <v>Abrir facsímil</v>
      </c>
      <c r="K3600" s="15" t="s">
        <v>22</v>
      </c>
    </row>
    <row r="3601" spans="1:11" ht="42" customHeight="1">
      <c r="A3601" s="4" t="s">
        <v>8327</v>
      </c>
      <c r="B3601" s="5" t="s">
        <v>8327</v>
      </c>
      <c r="C3601" s="5" t="s">
        <v>49</v>
      </c>
      <c r="D3601" s="5" t="s">
        <v>50</v>
      </c>
      <c r="E3601" s="5" t="s">
        <v>111</v>
      </c>
      <c r="F3601" s="9">
        <v>90</v>
      </c>
      <c r="G3601" s="9">
        <v>1037</v>
      </c>
      <c r="H3601" s="5" t="s">
        <v>20</v>
      </c>
      <c r="I3601" s="5" t="s">
        <v>8329</v>
      </c>
      <c r="J3601" s="12" t="str">
        <f>HYPERLINK("https://www.boe.es/gazeta/dias/1807/10/06/pdfs/GMD-1807-90.pdf#page=5","Abrir facsímil")</f>
        <v>Abrir facsímil</v>
      </c>
      <c r="K3601" s="15" t="s">
        <v>22</v>
      </c>
    </row>
    <row r="3602" spans="1:11" ht="42" customHeight="1">
      <c r="A3602" s="4" t="s">
        <v>8330</v>
      </c>
      <c r="B3602" s="5" t="s">
        <v>8330</v>
      </c>
      <c r="C3602" s="5" t="s">
        <v>49</v>
      </c>
      <c r="D3602" s="5" t="s">
        <v>50</v>
      </c>
      <c r="E3602" s="5" t="s">
        <v>270</v>
      </c>
      <c r="F3602" s="9">
        <v>8</v>
      </c>
      <c r="G3602" s="9">
        <v>90</v>
      </c>
      <c r="H3602" s="5" t="s">
        <v>20</v>
      </c>
      <c r="I3602" s="5" t="s">
        <v>8331</v>
      </c>
      <c r="J3602" s="12" t="str">
        <f>HYPERLINK("https://www.boe.es/gazeta/dias/1807/01/23/pdfs/GMD-1807-8.pdf#page=6","Abrir facsímil")</f>
        <v>Abrir facsímil</v>
      </c>
      <c r="K3602" s="15" t="s">
        <v>22</v>
      </c>
    </row>
    <row r="3603" spans="1:11" ht="42" customHeight="1">
      <c r="A3603" s="4" t="s">
        <v>8332</v>
      </c>
      <c r="B3603" s="5" t="s">
        <v>8332</v>
      </c>
      <c r="C3603" s="5" t="s">
        <v>34</v>
      </c>
      <c r="D3603" s="5" t="s">
        <v>35</v>
      </c>
      <c r="E3603" s="5" t="s">
        <v>83</v>
      </c>
      <c r="F3603" s="9">
        <v>50</v>
      </c>
      <c r="G3603" s="9">
        <v>591</v>
      </c>
      <c r="H3603" s="5" t="s">
        <v>20</v>
      </c>
      <c r="I3603" s="5" t="s">
        <v>8333</v>
      </c>
      <c r="J3603" s="12" t="str">
        <f>HYPERLINK("https://www.boe.es/gazeta/dias/1807/06/12/pdfs/GMD-1807-50.pdf#page=5","Abrir facsímil")</f>
        <v>Abrir facsímil</v>
      </c>
      <c r="K3603" s="15" t="s">
        <v>22</v>
      </c>
    </row>
    <row r="3604" spans="1:11" ht="42" customHeight="1">
      <c r="A3604" s="4" t="s">
        <v>8334</v>
      </c>
      <c r="B3604" s="5" t="s">
        <v>8335</v>
      </c>
      <c r="C3604" s="5" t="s">
        <v>17</v>
      </c>
      <c r="D3604" s="5" t="s">
        <v>18</v>
      </c>
      <c r="E3604" s="5" t="s">
        <v>390</v>
      </c>
      <c r="F3604" s="9">
        <v>24</v>
      </c>
      <c r="G3604" s="9">
        <v>287</v>
      </c>
      <c r="H3604" s="5" t="s">
        <v>20</v>
      </c>
      <c r="I3604" s="5" t="s">
        <v>8336</v>
      </c>
      <c r="J3604" s="12" t="str">
        <f>HYPERLINK("https://www.boe.es/gazeta/dias/1807/03/13/pdfs/GMD-1807-24.pdf#page=11","Abrir facsímil")</f>
        <v>Abrir facsímil</v>
      </c>
      <c r="K3604" s="15" t="s">
        <v>22</v>
      </c>
    </row>
    <row r="3605" spans="1:11" ht="42" customHeight="1">
      <c r="A3605" s="4" t="s">
        <v>8337</v>
      </c>
      <c r="B3605" s="5" t="s">
        <v>8338</v>
      </c>
      <c r="C3605" s="5" t="s">
        <v>34</v>
      </c>
      <c r="D3605" s="5" t="s">
        <v>35</v>
      </c>
      <c r="E3605" s="5" t="s">
        <v>30</v>
      </c>
      <c r="F3605" s="9">
        <v>13</v>
      </c>
      <c r="G3605" s="9">
        <v>144</v>
      </c>
      <c r="H3605" s="5" t="s">
        <v>20</v>
      </c>
      <c r="I3605" s="5" t="s">
        <v>8339</v>
      </c>
      <c r="J3605" s="12" t="str">
        <f>HYPERLINK("https://www.boe.es/gazeta/dias/1807/02/06/pdfs/GMD-1807-13.pdf#page=4","Abrir facsímil")</f>
        <v>Abrir facsímil</v>
      </c>
      <c r="K3605" s="15" t="s">
        <v>22</v>
      </c>
    </row>
    <row r="3606" spans="1:11" ht="42" customHeight="1">
      <c r="A3606" s="4" t="s">
        <v>8340</v>
      </c>
      <c r="B3606" s="5" t="s">
        <v>8341</v>
      </c>
      <c r="C3606" s="5" t="s">
        <v>49</v>
      </c>
      <c r="D3606" s="5" t="s">
        <v>50</v>
      </c>
      <c r="E3606" s="5" t="s">
        <v>86</v>
      </c>
      <c r="F3606" s="9">
        <v>12</v>
      </c>
      <c r="G3606" s="9">
        <v>132</v>
      </c>
      <c r="H3606" s="5" t="s">
        <v>20</v>
      </c>
      <c r="I3606" s="5" t="s">
        <v>8342</v>
      </c>
      <c r="J3606" s="12" t="str">
        <f>HYPERLINK("https://www.boe.es/gazeta/dias/1807/02/03/pdfs/GMD-1807-12.pdf#page=4","Abrir facsímil")</f>
        <v>Abrir facsímil</v>
      </c>
      <c r="K3606" s="15" t="s">
        <v>22</v>
      </c>
    </row>
    <row r="3607" spans="1:11" ht="42" customHeight="1">
      <c r="A3607" s="4" t="s">
        <v>8343</v>
      </c>
      <c r="B3607" s="5" t="s">
        <v>8343</v>
      </c>
      <c r="C3607" s="5" t="s">
        <v>24</v>
      </c>
      <c r="D3607" s="5" t="s">
        <v>18</v>
      </c>
      <c r="E3607" s="5" t="s">
        <v>83</v>
      </c>
      <c r="F3607" s="9">
        <v>50</v>
      </c>
      <c r="G3607" s="9">
        <v>597</v>
      </c>
      <c r="H3607" s="5" t="s">
        <v>20</v>
      </c>
      <c r="I3607" s="5" t="s">
        <v>8344</v>
      </c>
      <c r="J3607" s="12" t="str">
        <f>HYPERLINK("https://www.boe.es/gazeta/dias/1807/06/12/pdfs/GMD-1807-50.pdf#page=11","Abrir facsímil")</f>
        <v>Abrir facsímil</v>
      </c>
      <c r="K3607" s="15" t="s">
        <v>22</v>
      </c>
    </row>
    <row r="3608" spans="1:11" ht="42" customHeight="1">
      <c r="A3608" s="4" t="s">
        <v>8345</v>
      </c>
      <c r="B3608" s="5" t="s">
        <v>8346</v>
      </c>
      <c r="C3608" s="5" t="s">
        <v>34</v>
      </c>
      <c r="D3608" s="5" t="s">
        <v>35</v>
      </c>
      <c r="E3608" s="5" t="s">
        <v>478</v>
      </c>
      <c r="F3608" s="9">
        <v>30</v>
      </c>
      <c r="G3608" s="9">
        <v>357</v>
      </c>
      <c r="H3608" s="5" t="s">
        <v>20</v>
      </c>
      <c r="I3608" s="5" t="s">
        <v>8347</v>
      </c>
      <c r="J3608" s="12" t="str">
        <f>HYPERLINK("https://www.boe.es/gazeta/dias/1807/04/03/pdfs/GMD-1807-30.pdf#page=9","Abrir facsímil")</f>
        <v>Abrir facsímil</v>
      </c>
      <c r="K3608" s="15" t="s">
        <v>22</v>
      </c>
    </row>
    <row r="3609" spans="1:11" ht="42" customHeight="1">
      <c r="A3609" s="4" t="s">
        <v>8348</v>
      </c>
      <c r="B3609" s="5" t="s">
        <v>8349</v>
      </c>
      <c r="C3609" s="5" t="s">
        <v>24</v>
      </c>
      <c r="D3609" s="5" t="s">
        <v>18</v>
      </c>
      <c r="E3609" s="5" t="s">
        <v>156</v>
      </c>
      <c r="F3609" s="9">
        <v>74</v>
      </c>
      <c r="G3609" s="9">
        <v>855</v>
      </c>
      <c r="H3609" s="5" t="s">
        <v>20</v>
      </c>
      <c r="I3609" s="5" t="s">
        <v>8350</v>
      </c>
      <c r="J3609" s="12" t="str">
        <f>HYPERLINK("https://www.boe.es/gazeta/dias/1807/08/18/pdfs/GMD-1807-74.pdf#page=7","Abrir facsímil")</f>
        <v>Abrir facsímil</v>
      </c>
      <c r="K3609" s="15" t="s">
        <v>22</v>
      </c>
    </row>
    <row r="3610" spans="1:11" ht="42" customHeight="1">
      <c r="A3610" s="4" t="s">
        <v>8351</v>
      </c>
      <c r="B3610" s="5" t="s">
        <v>8352</v>
      </c>
      <c r="C3610" s="5" t="s">
        <v>34</v>
      </c>
      <c r="D3610" s="5" t="s">
        <v>35</v>
      </c>
      <c r="E3610" s="5" t="s">
        <v>595</v>
      </c>
      <c r="F3610" s="9">
        <v>59</v>
      </c>
      <c r="G3610" s="9">
        <v>702</v>
      </c>
      <c r="H3610" s="5" t="s">
        <v>20</v>
      </c>
      <c r="I3610" s="5" t="s">
        <v>8353</v>
      </c>
      <c r="J3610" s="12" t="str">
        <f>HYPERLINK("https://www.boe.es/gazeta/dias/1807/07/10/pdfs/GMD-1807-59.pdf#page=8","Abrir facsímil")</f>
        <v>Abrir facsímil</v>
      </c>
      <c r="K3610" s="15" t="s">
        <v>22</v>
      </c>
    </row>
    <row r="3611" spans="1:11" ht="42" customHeight="1">
      <c r="A3611" s="4" t="s">
        <v>8354</v>
      </c>
      <c r="B3611" s="5" t="s">
        <v>8355</v>
      </c>
      <c r="C3611" s="5" t="s">
        <v>24</v>
      </c>
      <c r="D3611" s="5" t="s">
        <v>18</v>
      </c>
      <c r="E3611" s="5" t="s">
        <v>94</v>
      </c>
      <c r="F3611" s="9">
        <v>22</v>
      </c>
      <c r="G3611" s="9">
        <v>258</v>
      </c>
      <c r="H3611" s="5" t="s">
        <v>20</v>
      </c>
      <c r="I3611" s="5" t="s">
        <v>8356</v>
      </c>
      <c r="J3611" s="12" t="str">
        <f>HYPERLINK("https://www.boe.es/gazeta/dias/1807/03/06/pdfs/GMD-1807-22.pdf#page=10","Abrir facsímil")</f>
        <v>Abrir facsímil</v>
      </c>
      <c r="K3611" s="15" t="s">
        <v>22</v>
      </c>
    </row>
    <row r="3612" spans="1:11" ht="42" customHeight="1">
      <c r="A3612" s="4" t="s">
        <v>8357</v>
      </c>
      <c r="B3612" s="5" t="s">
        <v>8358</v>
      </c>
      <c r="C3612" s="5" t="s">
        <v>89</v>
      </c>
      <c r="D3612" s="5" t="s">
        <v>90</v>
      </c>
      <c r="E3612" s="5" t="s">
        <v>111</v>
      </c>
      <c r="F3612" s="9">
        <v>90</v>
      </c>
      <c r="G3612" s="9">
        <v>1048</v>
      </c>
      <c r="H3612" s="5" t="s">
        <v>20</v>
      </c>
      <c r="I3612" s="5" t="s">
        <v>8359</v>
      </c>
      <c r="J3612" s="12" t="str">
        <f>HYPERLINK("https://www.boe.es/gazeta/dias/1807/10/06/pdfs/GMD-1807-90.pdf#page=16","Abrir facsímil")</f>
        <v>Abrir facsímil</v>
      </c>
      <c r="K3612" s="15" t="s">
        <v>22</v>
      </c>
    </row>
    <row r="3613" spans="1:11" ht="42" customHeight="1">
      <c r="A3613" s="4" t="s">
        <v>8360</v>
      </c>
      <c r="B3613" s="5" t="s">
        <v>8361</v>
      </c>
      <c r="C3613" s="5" t="s">
        <v>89</v>
      </c>
      <c r="D3613" s="5" t="s">
        <v>90</v>
      </c>
      <c r="E3613" s="5" t="s">
        <v>98</v>
      </c>
      <c r="F3613" s="9">
        <v>34</v>
      </c>
      <c r="G3613" s="9">
        <v>404</v>
      </c>
      <c r="H3613" s="5" t="s">
        <v>20</v>
      </c>
      <c r="I3613" s="5" t="s">
        <v>8362</v>
      </c>
      <c r="J3613" s="12" t="str">
        <f>HYPERLINK("https://www.boe.es/gazeta/dias/1807/04/17/pdfs/GMD-1807-34.pdf#page=8","Abrir facsímil")</f>
        <v>Abrir facsímil</v>
      </c>
      <c r="K3613" s="15" t="s">
        <v>22</v>
      </c>
    </row>
    <row r="3614" spans="1:11" ht="42" customHeight="1">
      <c r="A3614" s="4" t="s">
        <v>8363</v>
      </c>
      <c r="B3614" s="5" t="s">
        <v>8363</v>
      </c>
      <c r="C3614" s="5" t="s">
        <v>24</v>
      </c>
      <c r="D3614" s="5" t="s">
        <v>18</v>
      </c>
      <c r="E3614" s="5" t="s">
        <v>461</v>
      </c>
      <c r="F3614" s="9">
        <v>99</v>
      </c>
      <c r="G3614" s="9">
        <v>1154</v>
      </c>
      <c r="H3614" s="5" t="s">
        <v>20</v>
      </c>
      <c r="I3614" s="5" t="s">
        <v>8364</v>
      </c>
      <c r="J3614" s="12" t="str">
        <f>HYPERLINK("https://www.boe.es/gazeta/dias/1807/11/06/pdfs/GMD-1807-99.pdf#page=10","Abrir facsímil")</f>
        <v>Abrir facsímil</v>
      </c>
      <c r="K3614" s="15" t="s">
        <v>22</v>
      </c>
    </row>
    <row r="3615" spans="1:11" ht="42" customHeight="1">
      <c r="A3615" s="4" t="s">
        <v>8365</v>
      </c>
      <c r="B3615" s="5" t="s">
        <v>8366</v>
      </c>
      <c r="C3615" s="5" t="s">
        <v>49</v>
      </c>
      <c r="D3615" s="5" t="s">
        <v>50</v>
      </c>
      <c r="E3615" s="5" t="s">
        <v>30</v>
      </c>
      <c r="F3615" s="9">
        <v>13</v>
      </c>
      <c r="G3615" s="9">
        <v>144</v>
      </c>
      <c r="H3615" s="5" t="s">
        <v>20</v>
      </c>
      <c r="I3615" s="5" t="s">
        <v>8367</v>
      </c>
      <c r="J3615" s="12" t="str">
        <f>HYPERLINK("https://www.boe.es/gazeta/dias/1807/02/06/pdfs/GMD-1807-13.pdf#page=4","Abrir facsímil")</f>
        <v>Abrir facsímil</v>
      </c>
      <c r="K3615" s="15" t="s">
        <v>22</v>
      </c>
    </row>
    <row r="3616" spans="1:11" ht="42" customHeight="1">
      <c r="A3616" s="4" t="s">
        <v>8368</v>
      </c>
      <c r="B3616" s="5" t="s">
        <v>8369</v>
      </c>
      <c r="C3616" s="5" t="s">
        <v>34</v>
      </c>
      <c r="D3616" s="5" t="s">
        <v>35</v>
      </c>
      <c r="E3616" s="5" t="s">
        <v>94</v>
      </c>
      <c r="F3616" s="9">
        <v>22</v>
      </c>
      <c r="G3616" s="9">
        <v>255</v>
      </c>
      <c r="H3616" s="5" t="s">
        <v>20</v>
      </c>
      <c r="I3616" s="5" t="s">
        <v>8370</v>
      </c>
      <c r="J3616" s="12" t="str">
        <f>HYPERLINK("https://www.boe.es/gazeta/dias/1807/03/06/pdfs/GMD-1807-22.pdf#page=7","Abrir facsímil")</f>
        <v>Abrir facsímil</v>
      </c>
      <c r="K3616" s="15" t="s">
        <v>22</v>
      </c>
    </row>
    <row r="3617" spans="1:11" ht="42" customHeight="1">
      <c r="A3617" s="4" t="s">
        <v>8371</v>
      </c>
      <c r="B3617" s="5" t="s">
        <v>8371</v>
      </c>
      <c r="C3617" s="5" t="s">
        <v>49</v>
      </c>
      <c r="D3617" s="5" t="s">
        <v>50</v>
      </c>
      <c r="E3617" s="5" t="s">
        <v>464</v>
      </c>
      <c r="F3617" s="9">
        <v>18</v>
      </c>
      <c r="G3617" s="9">
        <v>208</v>
      </c>
      <c r="H3617" s="5" t="s">
        <v>20</v>
      </c>
      <c r="I3617" s="5" t="s">
        <v>8372</v>
      </c>
      <c r="J3617" s="12" t="str">
        <f>HYPERLINK("https://www.boe.es/gazeta/dias/1807/02/24/pdfs/GMD-1807-18.pdf#page=8","Abrir facsímil")</f>
        <v>Abrir facsímil</v>
      </c>
      <c r="K3617" s="15" t="s">
        <v>22</v>
      </c>
    </row>
    <row r="3618" spans="1:11" ht="42" customHeight="1">
      <c r="A3618" s="4" t="s">
        <v>8373</v>
      </c>
      <c r="B3618" s="5" t="s">
        <v>8374</v>
      </c>
      <c r="C3618" s="5" t="s">
        <v>24</v>
      </c>
      <c r="D3618" s="5" t="s">
        <v>18</v>
      </c>
      <c r="E3618" s="5" t="s">
        <v>98</v>
      </c>
      <c r="F3618" s="9">
        <v>34</v>
      </c>
      <c r="G3618" s="9">
        <v>407</v>
      </c>
      <c r="H3618" s="5" t="s">
        <v>20</v>
      </c>
      <c r="I3618" s="5" t="s">
        <v>8375</v>
      </c>
      <c r="J3618" s="12" t="str">
        <f>HYPERLINK("https://www.boe.es/gazeta/dias/1807/04/17/pdfs/GMD-1807-34.pdf#page=11","Abrir facsímil")</f>
        <v>Abrir facsímil</v>
      </c>
      <c r="K3618" s="15" t="s">
        <v>22</v>
      </c>
    </row>
    <row r="3619" spans="1:11" ht="42" customHeight="1">
      <c r="A3619" s="4" t="s">
        <v>8376</v>
      </c>
      <c r="B3619" s="5" t="s">
        <v>8377</v>
      </c>
      <c r="C3619" s="5" t="s">
        <v>17</v>
      </c>
      <c r="D3619" s="5" t="s">
        <v>18</v>
      </c>
      <c r="E3619" s="5" t="s">
        <v>215</v>
      </c>
      <c r="F3619" s="9">
        <v>5</v>
      </c>
      <c r="G3619" s="9">
        <v>51</v>
      </c>
      <c r="H3619" s="5" t="s">
        <v>20</v>
      </c>
      <c r="I3619" s="5" t="s">
        <v>8378</v>
      </c>
      <c r="J3619" s="12" t="str">
        <f>HYPERLINK("https://www.boe.es/gazeta/dias/1807/01/16/pdfs/GMD-1807-5.pdf#page=7","Abrir facsímil")</f>
        <v>Abrir facsímil</v>
      </c>
      <c r="K3619" s="15" t="s">
        <v>22</v>
      </c>
    </row>
    <row r="3620" spans="1:11" ht="42" customHeight="1">
      <c r="A3620" s="4" t="s">
        <v>8379</v>
      </c>
      <c r="B3620" s="5" t="s">
        <v>8379</v>
      </c>
      <c r="C3620" s="5" t="s">
        <v>49</v>
      </c>
      <c r="D3620" s="5" t="s">
        <v>50</v>
      </c>
      <c r="E3620" s="5" t="s">
        <v>929</v>
      </c>
      <c r="F3620" s="9">
        <v>85</v>
      </c>
      <c r="G3620" s="9">
        <v>989</v>
      </c>
      <c r="H3620" s="5" t="s">
        <v>20</v>
      </c>
      <c r="I3620" s="5" t="s">
        <v>8380</v>
      </c>
      <c r="J3620" s="12" t="str">
        <f>HYPERLINK("https://www.boe.es/gazeta/dias/1807/09/25/pdfs/GMD-1807-85.pdf#page=5","Abrir facsímil")</f>
        <v>Abrir facsímil</v>
      </c>
      <c r="K3620" s="15" t="s">
        <v>22</v>
      </c>
    </row>
    <row r="3621" spans="1:11" ht="42" customHeight="1">
      <c r="A3621" s="4" t="s">
        <v>8379</v>
      </c>
      <c r="B3621" s="5" t="s">
        <v>8379</v>
      </c>
      <c r="C3621" s="5" t="s">
        <v>89</v>
      </c>
      <c r="D3621" s="5" t="s">
        <v>90</v>
      </c>
      <c r="E3621" s="5" t="s">
        <v>441</v>
      </c>
      <c r="F3621" s="9">
        <v>92</v>
      </c>
      <c r="G3621" s="9">
        <v>1065</v>
      </c>
      <c r="H3621" s="5" t="s">
        <v>20</v>
      </c>
      <c r="I3621" s="5" t="s">
        <v>8381</v>
      </c>
      <c r="J3621" s="12" t="str">
        <f>HYPERLINK("https://www.boe.es/gazeta/dias/1807/10/13/pdfs/GMD-1807-92.pdf#page=5","Abrir facsímil")</f>
        <v>Abrir facsímil</v>
      </c>
      <c r="K3621" s="15" t="s">
        <v>22</v>
      </c>
    </row>
    <row r="3622" spans="1:11" ht="42" customHeight="1">
      <c r="A3622" s="4" t="s">
        <v>8379</v>
      </c>
      <c r="B3622" s="5" t="s">
        <v>8379</v>
      </c>
      <c r="C3622" s="5" t="s">
        <v>49</v>
      </c>
      <c r="D3622" s="5" t="s">
        <v>50</v>
      </c>
      <c r="E3622" s="5" t="s">
        <v>444</v>
      </c>
      <c r="F3622" s="9">
        <v>95</v>
      </c>
      <c r="G3622" s="9">
        <v>1101</v>
      </c>
      <c r="H3622" s="5" t="s">
        <v>20</v>
      </c>
      <c r="I3622" s="5" t="s">
        <v>8382</v>
      </c>
      <c r="J3622" s="12" t="str">
        <f>HYPERLINK("https://www.boe.es/gazeta/dias/1807/10/23/pdfs/GMD-1807-95.pdf#page=5","Abrir facsímil")</f>
        <v>Abrir facsímil</v>
      </c>
      <c r="K3622" s="15" t="s">
        <v>22</v>
      </c>
    </row>
    <row r="3623" spans="1:11" ht="42" customHeight="1">
      <c r="A3623" s="4" t="s">
        <v>8379</v>
      </c>
      <c r="B3623" s="5" t="s">
        <v>8379</v>
      </c>
      <c r="C3623" s="5" t="s">
        <v>49</v>
      </c>
      <c r="D3623" s="5" t="s">
        <v>50</v>
      </c>
      <c r="E3623" s="5" t="s">
        <v>1076</v>
      </c>
      <c r="F3623" s="9">
        <v>96</v>
      </c>
      <c r="G3623" s="9">
        <v>1114</v>
      </c>
      <c r="H3623" s="5" t="s">
        <v>20</v>
      </c>
      <c r="I3623" s="5" t="s">
        <v>8383</v>
      </c>
      <c r="J3623" s="12" t="str">
        <f>HYPERLINK("https://www.boe.es/gazeta/dias/1807/10/27/pdfs/GMD-1807-96.pdf#page=6","Abrir facsímil")</f>
        <v>Abrir facsímil</v>
      </c>
      <c r="K3623" s="15" t="s">
        <v>22</v>
      </c>
    </row>
    <row r="3624" spans="1:11" ht="42" customHeight="1">
      <c r="A3624" s="4" t="s">
        <v>8379</v>
      </c>
      <c r="B3624" s="5" t="s">
        <v>8379</v>
      </c>
      <c r="C3624" s="5" t="s">
        <v>49</v>
      </c>
      <c r="D3624" s="5" t="s">
        <v>50</v>
      </c>
      <c r="E3624" s="5" t="s">
        <v>1456</v>
      </c>
      <c r="F3624" s="9">
        <v>98</v>
      </c>
      <c r="G3624" s="9">
        <v>1139</v>
      </c>
      <c r="H3624" s="5" t="s">
        <v>20</v>
      </c>
      <c r="I3624" s="5" t="s">
        <v>8384</v>
      </c>
      <c r="J3624" s="12" t="str">
        <f>HYPERLINK("https://www.boe.es/gazeta/dias/1807/11/03/pdfs/GMD-1807-98.pdf#page=7","Abrir facsímil")</f>
        <v>Abrir facsímil</v>
      </c>
      <c r="K3624" s="15" t="s">
        <v>22</v>
      </c>
    </row>
    <row r="3625" spans="1:11" ht="42" customHeight="1">
      <c r="A3625" s="4" t="s">
        <v>8379</v>
      </c>
      <c r="B3625" s="5" t="s">
        <v>8379</v>
      </c>
      <c r="C3625" s="5" t="s">
        <v>28</v>
      </c>
      <c r="D3625" s="5" t="s">
        <v>29</v>
      </c>
      <c r="E3625" s="5" t="s">
        <v>461</v>
      </c>
      <c r="F3625" s="9">
        <v>99</v>
      </c>
      <c r="G3625" s="9">
        <v>1153</v>
      </c>
      <c r="H3625" s="5" t="s">
        <v>20</v>
      </c>
      <c r="I3625" s="5" t="s">
        <v>8385</v>
      </c>
      <c r="J3625" s="12" t="str">
        <f>HYPERLINK("https://www.boe.es/gazeta/dias/1807/11/06/pdfs/GMD-1807-99.pdf#page=9","Abrir facsímil")</f>
        <v>Abrir facsímil</v>
      </c>
      <c r="K3625" s="15" t="s">
        <v>22</v>
      </c>
    </row>
    <row r="3626" spans="1:11" ht="42" customHeight="1">
      <c r="A3626" s="4" t="s">
        <v>8379</v>
      </c>
      <c r="B3626" s="5" t="s">
        <v>8379</v>
      </c>
      <c r="C3626" s="5" t="s">
        <v>28</v>
      </c>
      <c r="D3626" s="5" t="s">
        <v>29</v>
      </c>
      <c r="E3626" s="5" t="s">
        <v>686</v>
      </c>
      <c r="F3626" s="9">
        <v>106</v>
      </c>
      <c r="G3626" s="9">
        <v>1235</v>
      </c>
      <c r="H3626" s="5" t="s">
        <v>20</v>
      </c>
      <c r="I3626" s="5" t="s">
        <v>8386</v>
      </c>
      <c r="J3626" s="12" t="str">
        <f>HYPERLINK("https://www.boe.es/gazeta/dias/1807/11/27/pdfs/GMD-1807-106.pdf#page=7","Abrir facsímil")</f>
        <v>Abrir facsímil</v>
      </c>
      <c r="K3626" s="15" t="s">
        <v>22</v>
      </c>
    </row>
    <row r="3627" spans="1:11" ht="42" customHeight="1">
      <c r="A3627" s="4" t="s">
        <v>8379</v>
      </c>
      <c r="B3627" s="5" t="s">
        <v>8379</v>
      </c>
      <c r="C3627" s="5" t="s">
        <v>28</v>
      </c>
      <c r="D3627" s="5" t="s">
        <v>29</v>
      </c>
      <c r="E3627" s="5" t="s">
        <v>139</v>
      </c>
      <c r="F3627" s="9">
        <v>110</v>
      </c>
      <c r="G3627" s="9">
        <v>1280</v>
      </c>
      <c r="H3627" s="5" t="s">
        <v>20</v>
      </c>
      <c r="I3627" s="5" t="s">
        <v>8387</v>
      </c>
      <c r="J3627" s="12" t="str">
        <f>HYPERLINK("https://www.boe.es/gazeta/dias/1807/12/11/pdfs/GMD-1807-110.pdf#page=4","Abrir facsímil")</f>
        <v>Abrir facsímil</v>
      </c>
      <c r="K3627" s="15" t="s">
        <v>22</v>
      </c>
    </row>
    <row r="3628" spans="1:11" ht="42" customHeight="1">
      <c r="A3628" s="4" t="s">
        <v>8388</v>
      </c>
      <c r="B3628" s="5" t="s">
        <v>8388</v>
      </c>
      <c r="C3628" s="5" t="s">
        <v>24</v>
      </c>
      <c r="D3628" s="5" t="s">
        <v>18</v>
      </c>
      <c r="E3628" s="5" t="s">
        <v>270</v>
      </c>
      <c r="F3628" s="9">
        <v>8</v>
      </c>
      <c r="G3628" s="9">
        <v>90</v>
      </c>
      <c r="H3628" s="5" t="s">
        <v>20</v>
      </c>
      <c r="I3628" s="5" t="s">
        <v>8389</v>
      </c>
      <c r="J3628" s="12" t="str">
        <f>HYPERLINK("https://www.boe.es/gazeta/dias/1807/01/23/pdfs/GMD-1807-8.pdf#page=6","Abrir facsímil")</f>
        <v>Abrir facsímil</v>
      </c>
      <c r="K3628" s="15" t="s">
        <v>22</v>
      </c>
    </row>
    <row r="3629" spans="1:11" ht="42" customHeight="1">
      <c r="A3629" s="4" t="s">
        <v>8390</v>
      </c>
      <c r="B3629" s="5" t="s">
        <v>8391</v>
      </c>
      <c r="C3629" s="5" t="s">
        <v>34</v>
      </c>
      <c r="D3629" s="5" t="s">
        <v>35</v>
      </c>
      <c r="E3629" s="5" t="s">
        <v>215</v>
      </c>
      <c r="F3629" s="9">
        <v>5</v>
      </c>
      <c r="G3629" s="9">
        <v>51</v>
      </c>
      <c r="H3629" s="5" t="s">
        <v>20</v>
      </c>
      <c r="I3629" s="5" t="s">
        <v>8392</v>
      </c>
      <c r="J3629" s="12" t="str">
        <f>HYPERLINK("https://www.boe.es/gazeta/dias/1807/01/16/pdfs/GMD-1807-5.pdf#page=7","Abrir facsímil")</f>
        <v>Abrir facsímil</v>
      </c>
      <c r="K3629" s="15" t="s">
        <v>22</v>
      </c>
    </row>
    <row r="3630" spans="1:11" ht="42" customHeight="1">
      <c r="A3630" s="4" t="s">
        <v>8393</v>
      </c>
      <c r="B3630" s="5" t="s">
        <v>8394</v>
      </c>
      <c r="C3630" s="5" t="s">
        <v>17</v>
      </c>
      <c r="D3630" s="5" t="s">
        <v>18</v>
      </c>
      <c r="E3630" s="5" t="s">
        <v>567</v>
      </c>
      <c r="F3630" s="9">
        <v>55</v>
      </c>
      <c r="G3630" s="9">
        <v>659</v>
      </c>
      <c r="H3630" s="5" t="s">
        <v>20</v>
      </c>
      <c r="I3630" s="5" t="s">
        <v>8395</v>
      </c>
      <c r="J3630" s="12" t="str">
        <f>HYPERLINK("https://www.boe.es/gazeta/dias/1807/06/30/pdfs/GMD-1807-55.pdf#page=9","Abrir facsímil")</f>
        <v>Abrir facsímil</v>
      </c>
      <c r="K3630" s="15" t="s">
        <v>22</v>
      </c>
    </row>
    <row r="3631" spans="1:11" ht="42" customHeight="1">
      <c r="A3631" s="4" t="s">
        <v>8396</v>
      </c>
      <c r="B3631" s="5" t="s">
        <v>8397</v>
      </c>
      <c r="C3631" s="5" t="s">
        <v>49</v>
      </c>
      <c r="D3631" s="5" t="s">
        <v>50</v>
      </c>
      <c r="E3631" s="5" t="s">
        <v>464</v>
      </c>
      <c r="F3631" s="9">
        <v>18</v>
      </c>
      <c r="G3631" s="9">
        <v>210</v>
      </c>
      <c r="H3631" s="5" t="s">
        <v>20</v>
      </c>
      <c r="I3631" s="5" t="s">
        <v>8398</v>
      </c>
      <c r="J3631" s="12" t="str">
        <f>HYPERLINK("https://www.boe.es/gazeta/dias/1807/02/24/pdfs/GMD-1807-18.pdf#page=10","Abrir facsímil")</f>
        <v>Abrir facsímil</v>
      </c>
      <c r="K3631" s="15" t="s">
        <v>22</v>
      </c>
    </row>
    <row r="3632" spans="1:11" ht="42" customHeight="1">
      <c r="A3632" s="4" t="s">
        <v>8399</v>
      </c>
      <c r="B3632" s="5" t="s">
        <v>8400</v>
      </c>
      <c r="C3632" s="5" t="s">
        <v>34</v>
      </c>
      <c r="D3632" s="5" t="s">
        <v>35</v>
      </c>
      <c r="E3632" s="5" t="s">
        <v>86</v>
      </c>
      <c r="F3632" s="9">
        <v>12</v>
      </c>
      <c r="G3632" s="9">
        <v>131</v>
      </c>
      <c r="H3632" s="5" t="s">
        <v>20</v>
      </c>
      <c r="I3632" s="5" t="s">
        <v>8401</v>
      </c>
      <c r="J3632" s="12" t="str">
        <f>HYPERLINK("https://www.boe.es/gazeta/dias/1807/02/03/pdfs/GMD-1807-12.pdf#page=3","Abrir facsímil")</f>
        <v>Abrir facsímil</v>
      </c>
      <c r="K3632" s="15" t="s">
        <v>22</v>
      </c>
    </row>
    <row r="3633" spans="1:11" ht="42" customHeight="1">
      <c r="A3633" s="4" t="s">
        <v>8399</v>
      </c>
      <c r="B3633" s="5" t="s">
        <v>8400</v>
      </c>
      <c r="C3633" s="5" t="s">
        <v>49</v>
      </c>
      <c r="D3633" s="5" t="s">
        <v>50</v>
      </c>
      <c r="E3633" s="5" t="s">
        <v>86</v>
      </c>
      <c r="F3633" s="9">
        <v>12</v>
      </c>
      <c r="G3633" s="9">
        <v>134</v>
      </c>
      <c r="H3633" s="5" t="s">
        <v>20</v>
      </c>
      <c r="I3633" s="5" t="s">
        <v>8402</v>
      </c>
      <c r="J3633" s="12" t="str">
        <f>HYPERLINK("https://www.boe.es/gazeta/dias/1807/02/03/pdfs/GMD-1807-12.pdf#page=6","Abrir facsímil")</f>
        <v>Abrir facsímil</v>
      </c>
      <c r="K3633" s="15" t="s">
        <v>22</v>
      </c>
    </row>
    <row r="3634" spans="1:11" ht="42" customHeight="1">
      <c r="A3634" s="4" t="s">
        <v>8399</v>
      </c>
      <c r="B3634" s="5" t="s">
        <v>8400</v>
      </c>
      <c r="C3634" s="5" t="s">
        <v>49</v>
      </c>
      <c r="D3634" s="5" t="s">
        <v>50</v>
      </c>
      <c r="E3634" s="5" t="s">
        <v>572</v>
      </c>
      <c r="F3634" s="9">
        <v>14</v>
      </c>
      <c r="G3634" s="9">
        <v>155</v>
      </c>
      <c r="H3634" s="5" t="s">
        <v>20</v>
      </c>
      <c r="I3634" s="5" t="s">
        <v>8403</v>
      </c>
      <c r="J3634" s="12" t="str">
        <f>HYPERLINK("https://www.boe.es/gazeta/dias/1807/02/10/pdfs/GMD-1807-14.pdf#page=3","Abrir facsímil")</f>
        <v>Abrir facsímil</v>
      </c>
      <c r="K3634" s="15" t="s">
        <v>22</v>
      </c>
    </row>
    <row r="3635" spans="1:11" ht="42" customHeight="1">
      <c r="A3635" s="4" t="s">
        <v>8399</v>
      </c>
      <c r="B3635" s="5" t="s">
        <v>8400</v>
      </c>
      <c r="C3635" s="5" t="s">
        <v>49</v>
      </c>
      <c r="D3635" s="5" t="s">
        <v>50</v>
      </c>
      <c r="E3635" s="5" t="s">
        <v>393</v>
      </c>
      <c r="F3635" s="9">
        <v>15</v>
      </c>
      <c r="G3635" s="9">
        <v>169</v>
      </c>
      <c r="H3635" s="5" t="s">
        <v>20</v>
      </c>
      <c r="I3635" s="5" t="s">
        <v>8404</v>
      </c>
      <c r="J3635" s="12" t="str">
        <f>HYPERLINK("https://www.boe.es/gazeta/dias/1807/02/13/pdfs/GMD-1807-15.pdf#page=5","Abrir facsímil")</f>
        <v>Abrir facsímil</v>
      </c>
      <c r="K3635" s="15" t="s">
        <v>22</v>
      </c>
    </row>
    <row r="3636" spans="1:11" ht="42" customHeight="1">
      <c r="A3636" s="4" t="s">
        <v>8399</v>
      </c>
      <c r="B3636" s="5" t="s">
        <v>8400</v>
      </c>
      <c r="C3636" s="5" t="s">
        <v>28</v>
      </c>
      <c r="D3636" s="5" t="s">
        <v>29</v>
      </c>
      <c r="E3636" s="5" t="s">
        <v>464</v>
      </c>
      <c r="F3636" s="9">
        <v>18</v>
      </c>
      <c r="G3636" s="9">
        <v>211</v>
      </c>
      <c r="H3636" s="5" t="s">
        <v>20</v>
      </c>
      <c r="I3636" s="5" t="s">
        <v>8405</v>
      </c>
      <c r="J3636" s="12" t="str">
        <f>HYPERLINK("https://www.boe.es/gazeta/dias/1807/02/24/pdfs/GMD-1807-18.pdf#page=11","Abrir facsímil")</f>
        <v>Abrir facsímil</v>
      </c>
      <c r="K3636" s="15" t="s">
        <v>22</v>
      </c>
    </row>
    <row r="3637" spans="1:11" ht="42" customHeight="1">
      <c r="A3637" s="4" t="s">
        <v>8399</v>
      </c>
      <c r="B3637" s="5" t="s">
        <v>8400</v>
      </c>
      <c r="C3637" s="5" t="s">
        <v>49</v>
      </c>
      <c r="D3637" s="5" t="s">
        <v>50</v>
      </c>
      <c r="E3637" s="5" t="s">
        <v>376</v>
      </c>
      <c r="F3637" s="9">
        <v>19</v>
      </c>
      <c r="G3637" s="9">
        <v>222</v>
      </c>
      <c r="H3637" s="5" t="s">
        <v>20</v>
      </c>
      <c r="I3637" s="5" t="s">
        <v>8406</v>
      </c>
      <c r="J3637" s="12" t="str">
        <f>HYPERLINK("https://www.boe.es/gazeta/dias/1807/02/27/pdfs/GMD-1807-19.pdf#page=6","Abrir facsímil")</f>
        <v>Abrir facsímil</v>
      </c>
      <c r="K3637" s="15" t="s">
        <v>22</v>
      </c>
    </row>
    <row r="3638" spans="1:11" ht="42" customHeight="1">
      <c r="A3638" s="4" t="s">
        <v>8407</v>
      </c>
      <c r="B3638" s="5" t="s">
        <v>8408</v>
      </c>
      <c r="C3638" s="5" t="s">
        <v>34</v>
      </c>
      <c r="D3638" s="5" t="s">
        <v>35</v>
      </c>
      <c r="E3638" s="5" t="s">
        <v>595</v>
      </c>
      <c r="F3638" s="9">
        <v>59</v>
      </c>
      <c r="G3638" s="9">
        <v>702</v>
      </c>
      <c r="H3638" s="5" t="s">
        <v>20</v>
      </c>
      <c r="I3638" s="5" t="s">
        <v>8409</v>
      </c>
      <c r="J3638" s="12" t="str">
        <f>HYPERLINK("https://www.boe.es/gazeta/dias/1807/07/10/pdfs/GMD-1807-59.pdf#page=8","Abrir facsímil")</f>
        <v>Abrir facsímil</v>
      </c>
      <c r="K3638" s="15" t="s">
        <v>22</v>
      </c>
    </row>
    <row r="3639" spans="1:11" ht="42" customHeight="1">
      <c r="A3639" s="4" t="s">
        <v>8410</v>
      </c>
      <c r="B3639" s="5" t="s">
        <v>8411</v>
      </c>
      <c r="C3639" s="5" t="s">
        <v>34</v>
      </c>
      <c r="D3639" s="5" t="s">
        <v>35</v>
      </c>
      <c r="E3639" s="5" t="s">
        <v>505</v>
      </c>
      <c r="F3639" s="9">
        <v>47</v>
      </c>
      <c r="G3639" s="9">
        <v>562</v>
      </c>
      <c r="H3639" s="5" t="s">
        <v>20</v>
      </c>
      <c r="I3639" s="5" t="s">
        <v>8412</v>
      </c>
      <c r="J3639" s="12" t="str">
        <f>HYPERLINK("https://www.boe.es/gazeta/dias/1807/06/02/pdfs/GMD-1807-47.pdf#page=8","Abrir facsímil")</f>
        <v>Abrir facsímil</v>
      </c>
      <c r="K3639" s="15" t="s">
        <v>22</v>
      </c>
    </row>
    <row r="3640" spans="1:11" ht="42" customHeight="1">
      <c r="A3640" s="4" t="s">
        <v>8413</v>
      </c>
      <c r="B3640" s="5" t="s">
        <v>8414</v>
      </c>
      <c r="C3640" s="5" t="s">
        <v>34</v>
      </c>
      <c r="D3640" s="5" t="s">
        <v>35</v>
      </c>
      <c r="E3640" s="5" t="s">
        <v>422</v>
      </c>
      <c r="F3640" s="9">
        <v>33</v>
      </c>
      <c r="G3640" s="9">
        <v>394</v>
      </c>
      <c r="H3640" s="5" t="s">
        <v>20</v>
      </c>
      <c r="I3640" s="5" t="s">
        <v>8415</v>
      </c>
      <c r="J3640" s="12" t="str">
        <f>HYPERLINK("https://www.boe.es/gazeta/dias/1807/04/14/pdfs/GMD-1807-33.pdf#page=10","Abrir facsímil")</f>
        <v>Abrir facsímil</v>
      </c>
      <c r="K3640" s="15" t="s">
        <v>22</v>
      </c>
    </row>
    <row r="3641" spans="1:11" ht="42" customHeight="1">
      <c r="A3641" s="4" t="s">
        <v>8416</v>
      </c>
      <c r="B3641" s="5" t="s">
        <v>8417</v>
      </c>
      <c r="C3641" s="5" t="s">
        <v>17</v>
      </c>
      <c r="D3641" s="5" t="s">
        <v>18</v>
      </c>
      <c r="E3641" s="5" t="s">
        <v>309</v>
      </c>
      <c r="F3641" s="9">
        <v>107</v>
      </c>
      <c r="G3641" s="9">
        <v>1249</v>
      </c>
      <c r="H3641" s="5" t="s">
        <v>20</v>
      </c>
      <c r="I3641" s="5" t="s">
        <v>8418</v>
      </c>
      <c r="J3641" s="12" t="str">
        <f>HYPERLINK("https://www.boe.es/gazeta/dias/1807/12/01/pdfs/GMD-1807-107.pdf#page=9","Abrir facsímil")</f>
        <v>Abrir facsímil</v>
      </c>
      <c r="K3641" s="15" t="s">
        <v>22</v>
      </c>
    </row>
    <row r="3642" spans="1:11" ht="42" customHeight="1">
      <c r="A3642" s="4" t="s">
        <v>8419</v>
      </c>
      <c r="B3642" s="5" t="s">
        <v>8420</v>
      </c>
      <c r="C3642" s="5" t="s">
        <v>34</v>
      </c>
      <c r="D3642" s="5" t="s">
        <v>35</v>
      </c>
      <c r="E3642" s="5" t="s">
        <v>101</v>
      </c>
      <c r="F3642" s="9">
        <v>23</v>
      </c>
      <c r="G3642" s="9">
        <v>273</v>
      </c>
      <c r="H3642" s="5" t="s">
        <v>20</v>
      </c>
      <c r="I3642" s="5" t="s">
        <v>8421</v>
      </c>
      <c r="J3642" s="12" t="str">
        <f>HYPERLINK("https://www.boe.es/gazeta/dias/1807/03/10/pdfs/GMD-1807-23.pdf#page=13","Abrir facsímil")</f>
        <v>Abrir facsímil</v>
      </c>
      <c r="K3642" s="15" t="s">
        <v>22</v>
      </c>
    </row>
    <row r="3643" spans="1:11" ht="42" customHeight="1">
      <c r="A3643" s="4" t="s">
        <v>8422</v>
      </c>
      <c r="B3643" s="5" t="s">
        <v>8423</v>
      </c>
      <c r="C3643" s="5" t="s">
        <v>34</v>
      </c>
      <c r="D3643" s="5" t="s">
        <v>35</v>
      </c>
      <c r="E3643" s="5" t="s">
        <v>384</v>
      </c>
      <c r="F3643" s="9">
        <v>111</v>
      </c>
      <c r="G3643" s="9">
        <v>1298</v>
      </c>
      <c r="H3643" s="5" t="s">
        <v>20</v>
      </c>
      <c r="I3643" s="5" t="s">
        <v>8424</v>
      </c>
      <c r="J3643" s="12" t="str">
        <f>HYPERLINK("https://www.boe.es/gazeta/dias/1807/12/15/pdfs/GMD-1807-111.pdf#page=10","Abrir facsímil")</f>
        <v>Abrir facsímil</v>
      </c>
      <c r="K3643" s="15" t="s">
        <v>22</v>
      </c>
    </row>
    <row r="3644" spans="1:11" ht="42" customHeight="1">
      <c r="A3644" s="4" t="s">
        <v>8425</v>
      </c>
      <c r="B3644" s="5" t="s">
        <v>8426</v>
      </c>
      <c r="C3644" s="5" t="s">
        <v>28</v>
      </c>
      <c r="D3644" s="5" t="s">
        <v>29</v>
      </c>
      <c r="E3644" s="5" t="s">
        <v>46</v>
      </c>
      <c r="F3644" s="9">
        <v>78</v>
      </c>
      <c r="G3644" s="9">
        <v>905</v>
      </c>
      <c r="H3644" s="5" t="s">
        <v>20</v>
      </c>
      <c r="I3644" s="5" t="s">
        <v>8427</v>
      </c>
      <c r="J3644" s="12" t="str">
        <f>HYPERLINK("https://www.boe.es/gazeta/dias/1807/09/01/pdfs/GMD-1807-78.pdf#page=9","Abrir facsímil")</f>
        <v>Abrir facsímil</v>
      </c>
      <c r="K3644" s="15" t="s">
        <v>22</v>
      </c>
    </row>
    <row r="3645" spans="1:11" ht="42" customHeight="1">
      <c r="A3645" s="4" t="s">
        <v>8428</v>
      </c>
      <c r="B3645" s="5" t="s">
        <v>8429</v>
      </c>
      <c r="C3645" s="5" t="s">
        <v>24</v>
      </c>
      <c r="D3645" s="5" t="s">
        <v>18</v>
      </c>
      <c r="E3645" s="5" t="s">
        <v>414</v>
      </c>
      <c r="F3645" s="9">
        <v>40</v>
      </c>
      <c r="G3645" s="9">
        <v>480</v>
      </c>
      <c r="H3645" s="5" t="s">
        <v>20</v>
      </c>
      <c r="I3645" s="5" t="s">
        <v>8430</v>
      </c>
      <c r="J3645" s="12" t="str">
        <f>HYPERLINK("https://www.boe.es/gazeta/dias/1807/05/08/pdfs/GMD-1807-40.pdf#page=10","Abrir facsímil")</f>
        <v>Abrir facsímil</v>
      </c>
      <c r="K3645" s="15" t="s">
        <v>22</v>
      </c>
    </row>
    <row r="3646" spans="1:11" ht="42" customHeight="1">
      <c r="A3646" s="4" t="s">
        <v>8428</v>
      </c>
      <c r="B3646" s="5" t="s">
        <v>8429</v>
      </c>
      <c r="C3646" s="5" t="s">
        <v>24</v>
      </c>
      <c r="D3646" s="5" t="s">
        <v>18</v>
      </c>
      <c r="E3646" s="5" t="s">
        <v>81</v>
      </c>
      <c r="F3646" s="9">
        <v>49</v>
      </c>
      <c r="G3646" s="9">
        <v>586</v>
      </c>
      <c r="H3646" s="5" t="s">
        <v>20</v>
      </c>
      <c r="I3646" s="5" t="s">
        <v>8431</v>
      </c>
      <c r="J3646" s="12" t="str">
        <f>HYPERLINK("https://www.boe.es/gazeta/dias/1807/06/09/pdfs/GMD-1807-49.pdf#page=12","Abrir facsímil")</f>
        <v>Abrir facsímil</v>
      </c>
      <c r="K3646" s="15" t="s">
        <v>22</v>
      </c>
    </row>
    <row r="3647" spans="1:11" ht="42" customHeight="1">
      <c r="A3647" s="4" t="s">
        <v>8432</v>
      </c>
      <c r="B3647" s="5" t="s">
        <v>8433</v>
      </c>
      <c r="C3647" s="5" t="s">
        <v>17</v>
      </c>
      <c r="D3647" s="5" t="s">
        <v>18</v>
      </c>
      <c r="E3647" s="5" t="s">
        <v>62</v>
      </c>
      <c r="F3647" s="9">
        <v>68</v>
      </c>
      <c r="G3647" s="9">
        <v>786</v>
      </c>
      <c r="H3647" s="5" t="s">
        <v>20</v>
      </c>
      <c r="I3647" s="5" t="s">
        <v>8434</v>
      </c>
      <c r="J3647" s="12" t="str">
        <f>HYPERLINK("https://www.boe.es/gazeta/dias/1807/07/31/pdfs/GMD-1807-68.pdf#page=10","Abrir facsímil")</f>
        <v>Abrir facsímil</v>
      </c>
      <c r="K3647" s="15" t="s">
        <v>22</v>
      </c>
    </row>
    <row r="3648" spans="1:11" ht="42" customHeight="1">
      <c r="A3648" s="4" t="s">
        <v>8435</v>
      </c>
      <c r="B3648" s="5" t="s">
        <v>8436</v>
      </c>
      <c r="C3648" s="5" t="s">
        <v>34</v>
      </c>
      <c r="D3648" s="5" t="s">
        <v>35</v>
      </c>
      <c r="E3648" s="5" t="s">
        <v>123</v>
      </c>
      <c r="F3648" s="9">
        <v>70</v>
      </c>
      <c r="G3648" s="9">
        <v>807</v>
      </c>
      <c r="H3648" s="5" t="s">
        <v>20</v>
      </c>
      <c r="I3648" s="5" t="s">
        <v>8437</v>
      </c>
      <c r="J3648" s="12" t="str">
        <f>HYPERLINK("https://www.boe.es/gazeta/dias/1807/08/04/pdfs/GMD-1807-70.pdf#page=11","Abrir facsímil")</f>
        <v>Abrir facsímil</v>
      </c>
      <c r="K3648" s="15" t="s">
        <v>22</v>
      </c>
    </row>
    <row r="3649" spans="1:11" ht="42" customHeight="1">
      <c r="A3649" s="4" t="s">
        <v>8438</v>
      </c>
      <c r="B3649" s="5" t="s">
        <v>8439</v>
      </c>
      <c r="C3649" s="5" t="s">
        <v>89</v>
      </c>
      <c r="D3649" s="5" t="s">
        <v>90</v>
      </c>
      <c r="E3649" s="5" t="s">
        <v>208</v>
      </c>
      <c r="F3649" s="9">
        <v>42</v>
      </c>
      <c r="G3649" s="9">
        <v>506</v>
      </c>
      <c r="H3649" s="5" t="s">
        <v>20</v>
      </c>
      <c r="I3649" s="5" t="s">
        <v>8440</v>
      </c>
      <c r="J3649" s="12" t="str">
        <f>HYPERLINK("https://www.boe.es/gazeta/dias/1807/05/15/pdfs/GMD-1807-42.pdf#page=12","Abrir facsímil")</f>
        <v>Abrir facsímil</v>
      </c>
      <c r="K3649" s="15" t="s">
        <v>22</v>
      </c>
    </row>
    <row r="3650" spans="1:11" ht="42" customHeight="1">
      <c r="A3650" s="4" t="s">
        <v>8441</v>
      </c>
      <c r="B3650" s="5" t="s">
        <v>8442</v>
      </c>
      <c r="C3650" s="5" t="s">
        <v>34</v>
      </c>
      <c r="D3650" s="5" t="s">
        <v>35</v>
      </c>
      <c r="E3650" s="5" t="s">
        <v>319</v>
      </c>
      <c r="F3650" s="9">
        <v>54</v>
      </c>
      <c r="G3650" s="9">
        <v>646</v>
      </c>
      <c r="H3650" s="5" t="s">
        <v>20</v>
      </c>
      <c r="I3650" s="5" t="s">
        <v>8443</v>
      </c>
      <c r="J3650" s="12" t="str">
        <f>HYPERLINK("https://www.boe.es/gazeta/dias/1807/06/26/pdfs/GMD-1807-54.pdf#page=8","Abrir facsímil")</f>
        <v>Abrir facsímil</v>
      </c>
      <c r="K3650" s="15" t="s">
        <v>22</v>
      </c>
    </row>
    <row r="3651" spans="1:11" ht="42" customHeight="1">
      <c r="A3651" s="4" t="s">
        <v>8444</v>
      </c>
      <c r="B3651" s="5" t="s">
        <v>8444</v>
      </c>
      <c r="C3651" s="5" t="s">
        <v>34</v>
      </c>
      <c r="D3651" s="5" t="s">
        <v>35</v>
      </c>
      <c r="E3651" s="5" t="s">
        <v>478</v>
      </c>
      <c r="F3651" s="9">
        <v>30</v>
      </c>
      <c r="G3651" s="9">
        <v>355</v>
      </c>
      <c r="H3651" s="5" t="s">
        <v>20</v>
      </c>
      <c r="I3651" s="5" t="s">
        <v>8445</v>
      </c>
      <c r="J3651" s="12" t="str">
        <f>HYPERLINK("https://www.boe.es/gazeta/dias/1807/04/03/pdfs/GMD-1807-30.pdf#page=7","Abrir facsímil")</f>
        <v>Abrir facsímil</v>
      </c>
      <c r="K3651" s="15" t="s">
        <v>22</v>
      </c>
    </row>
    <row r="3652" spans="1:11" ht="42" customHeight="1">
      <c r="A3652" s="4" t="s">
        <v>8446</v>
      </c>
      <c r="B3652" s="5" t="s">
        <v>8447</v>
      </c>
      <c r="C3652" s="5" t="s">
        <v>28</v>
      </c>
      <c r="D3652" s="5" t="s">
        <v>29</v>
      </c>
      <c r="E3652" s="5" t="s">
        <v>414</v>
      </c>
      <c r="F3652" s="9">
        <v>40</v>
      </c>
      <c r="G3652" s="9">
        <v>475</v>
      </c>
      <c r="H3652" s="5" t="s">
        <v>20</v>
      </c>
      <c r="I3652" s="5" t="s">
        <v>8448</v>
      </c>
      <c r="J3652" s="12" t="str">
        <f>HYPERLINK("https://www.boe.es/gazeta/dias/1807/05/08/pdfs/GMD-1807-40.pdf#page=5","Abrir facsímil")</f>
        <v>Abrir facsímil</v>
      </c>
      <c r="K3652" s="15" t="s">
        <v>22</v>
      </c>
    </row>
    <row r="3653" spans="1:11" ht="42" customHeight="1">
      <c r="A3653" s="4" t="s">
        <v>8449</v>
      </c>
      <c r="B3653" s="5" t="s">
        <v>8450</v>
      </c>
      <c r="C3653" s="5" t="s">
        <v>34</v>
      </c>
      <c r="D3653" s="5" t="s">
        <v>35</v>
      </c>
      <c r="E3653" s="5" t="s">
        <v>245</v>
      </c>
      <c r="F3653" s="9">
        <v>97</v>
      </c>
      <c r="G3653" s="9">
        <v>1128</v>
      </c>
      <c r="H3653" s="5" t="s">
        <v>20</v>
      </c>
      <c r="I3653" s="5" t="s">
        <v>8451</v>
      </c>
      <c r="J3653" s="12" t="str">
        <f>HYPERLINK("https://www.boe.es/gazeta/dias/1807/10/30/pdfs/GMD-1807-97.pdf#page=8","Abrir facsímil")</f>
        <v>Abrir facsímil</v>
      </c>
      <c r="K3653" s="15" t="s">
        <v>22</v>
      </c>
    </row>
    <row r="3654" spans="1:11" ht="42" customHeight="1">
      <c r="A3654" s="4" t="s">
        <v>8452</v>
      </c>
      <c r="B3654" s="5" t="s">
        <v>8453</v>
      </c>
      <c r="C3654" s="5" t="s">
        <v>34</v>
      </c>
      <c r="D3654" s="5" t="s">
        <v>35</v>
      </c>
      <c r="E3654" s="5" t="s">
        <v>53</v>
      </c>
      <c r="F3654" s="9">
        <v>64</v>
      </c>
      <c r="G3654" s="9">
        <v>746</v>
      </c>
      <c r="H3654" s="5" t="s">
        <v>20</v>
      </c>
      <c r="I3654" s="5" t="s">
        <v>8454</v>
      </c>
      <c r="J3654" s="12" t="str">
        <f>HYPERLINK("https://www.boe.es/gazeta/dias/1807/07/21/pdfs/GMD-1807-64.pdf#page=8","Abrir facsímil")</f>
        <v>Abrir facsímil</v>
      </c>
      <c r="K3654" s="15" t="s">
        <v>22</v>
      </c>
    </row>
    <row r="3655" spans="1:11" ht="42" customHeight="1">
      <c r="A3655" s="4" t="s">
        <v>8455</v>
      </c>
      <c r="B3655" s="5" t="s">
        <v>8456</v>
      </c>
      <c r="C3655" s="5" t="s">
        <v>34</v>
      </c>
      <c r="D3655" s="5" t="s">
        <v>35</v>
      </c>
      <c r="E3655" s="5" t="s">
        <v>414</v>
      </c>
      <c r="F3655" s="9">
        <v>40</v>
      </c>
      <c r="G3655" s="9">
        <v>475</v>
      </c>
      <c r="H3655" s="5" t="s">
        <v>20</v>
      </c>
      <c r="I3655" s="5" t="s">
        <v>8457</v>
      </c>
      <c r="J3655" s="12" t="str">
        <f>HYPERLINK("https://www.boe.es/gazeta/dias/1807/05/08/pdfs/GMD-1807-40.pdf#page=5","Abrir facsímil")</f>
        <v>Abrir facsímil</v>
      </c>
      <c r="K3655" s="15" t="s">
        <v>22</v>
      </c>
    </row>
    <row r="3656" spans="1:11" ht="42" customHeight="1">
      <c r="A3656" s="4" t="s">
        <v>8455</v>
      </c>
      <c r="B3656" s="5" t="s">
        <v>8456</v>
      </c>
      <c r="C3656" s="5" t="s">
        <v>34</v>
      </c>
      <c r="D3656" s="5" t="s">
        <v>35</v>
      </c>
      <c r="E3656" s="5" t="s">
        <v>127</v>
      </c>
      <c r="F3656" s="9">
        <v>81</v>
      </c>
      <c r="G3656" s="9">
        <v>946</v>
      </c>
      <c r="H3656" s="5" t="s">
        <v>20</v>
      </c>
      <c r="I3656" s="5" t="s">
        <v>8458</v>
      </c>
      <c r="J3656" s="12" t="str">
        <f>HYPERLINK("https://www.boe.es/gazeta/dias/1807/09/11/pdfs/GMD-1807-81.pdf#page=10","Abrir facsímil")</f>
        <v>Abrir facsímil</v>
      </c>
      <c r="K3656" s="15" t="s">
        <v>22</v>
      </c>
    </row>
    <row r="3657" spans="1:11" ht="42" customHeight="1">
      <c r="A3657" s="4" t="s">
        <v>8459</v>
      </c>
      <c r="B3657" s="5" t="s">
        <v>8460</v>
      </c>
      <c r="C3657" s="5" t="s">
        <v>34</v>
      </c>
      <c r="D3657" s="5" t="s">
        <v>35</v>
      </c>
      <c r="E3657" s="5" t="s">
        <v>167</v>
      </c>
      <c r="F3657" s="9">
        <v>77</v>
      </c>
      <c r="G3657" s="9">
        <v>892</v>
      </c>
      <c r="H3657" s="5" t="s">
        <v>20</v>
      </c>
      <c r="I3657" s="5" t="s">
        <v>8461</v>
      </c>
      <c r="J3657" s="12" t="str">
        <f>HYPERLINK("https://www.boe.es/gazeta/dias/1807/08/28/pdfs/GMD-1807-77.pdf#page=8","Abrir facsímil")</f>
        <v>Abrir facsímil</v>
      </c>
      <c r="K3657" s="15" t="s">
        <v>22</v>
      </c>
    </row>
    <row r="3658" spans="1:11" ht="42" customHeight="1">
      <c r="A3658" s="4" t="s">
        <v>8462</v>
      </c>
      <c r="B3658" s="5" t="s">
        <v>8463</v>
      </c>
      <c r="C3658" s="5" t="s">
        <v>34</v>
      </c>
      <c r="D3658" s="5" t="s">
        <v>35</v>
      </c>
      <c r="E3658" s="5" t="s">
        <v>76</v>
      </c>
      <c r="F3658" s="9">
        <v>7</v>
      </c>
      <c r="G3658" s="9">
        <v>74</v>
      </c>
      <c r="H3658" s="5" t="s">
        <v>20</v>
      </c>
      <c r="I3658" s="5" t="s">
        <v>8464</v>
      </c>
      <c r="J3658" s="12" t="str">
        <f>HYPERLINK("https://www.boe.es/gazeta/dias/1807/01/20/pdfs/GMD-1807-7.pdf#page=6","Abrir facsímil")</f>
        <v>Abrir facsímil</v>
      </c>
      <c r="K3658" s="15" t="s">
        <v>22</v>
      </c>
    </row>
    <row r="3659" spans="1:11" ht="42" customHeight="1">
      <c r="A3659" s="4" t="s">
        <v>8465</v>
      </c>
      <c r="B3659" s="5" t="s">
        <v>8466</v>
      </c>
      <c r="C3659" s="5" t="s">
        <v>69</v>
      </c>
      <c r="D3659" s="5" t="s">
        <v>70</v>
      </c>
      <c r="E3659" s="5" t="s">
        <v>71</v>
      </c>
      <c r="F3659" s="9">
        <v>35</v>
      </c>
      <c r="G3659" s="9" t="s">
        <v>197</v>
      </c>
      <c r="H3659" s="5" t="s">
        <v>20</v>
      </c>
      <c r="I3659" s="5" t="s">
        <v>8467</v>
      </c>
      <c r="J3659" s="12" t="str">
        <f>HYPERLINK("https://www.boe.es/gazeta/dias/1807/04/21/pdfs/C00001-00004.pdf#page=3","Abrir facsímil")</f>
        <v>Abrir facsímil</v>
      </c>
      <c r="K3659" s="15" t="s">
        <v>22</v>
      </c>
    </row>
    <row r="3660" spans="1:11" ht="42" customHeight="1">
      <c r="A3660" s="4" t="s">
        <v>8468</v>
      </c>
      <c r="B3660" s="5" t="s">
        <v>8469</v>
      </c>
      <c r="C3660" s="5" t="s">
        <v>34</v>
      </c>
      <c r="D3660" s="5" t="s">
        <v>35</v>
      </c>
      <c r="E3660" s="5" t="s">
        <v>530</v>
      </c>
      <c r="F3660" s="9">
        <v>79</v>
      </c>
      <c r="G3660" s="9">
        <v>918</v>
      </c>
      <c r="H3660" s="5" t="s">
        <v>20</v>
      </c>
      <c r="I3660" s="5" t="s">
        <v>8470</v>
      </c>
      <c r="J3660" s="12" t="str">
        <f>HYPERLINK("https://www.boe.es/gazeta/dias/1807/09/04/pdfs/GMD-1807-79.pdf#page=10","Abrir facsímil")</f>
        <v>Abrir facsímil</v>
      </c>
      <c r="K3660" s="15" t="s">
        <v>22</v>
      </c>
    </row>
    <row r="3661" spans="1:11" ht="42" customHeight="1">
      <c r="A3661" s="4" t="s">
        <v>8471</v>
      </c>
      <c r="B3661" s="5" t="s">
        <v>8471</v>
      </c>
      <c r="C3661" s="5" t="s">
        <v>49</v>
      </c>
      <c r="D3661" s="5" t="s">
        <v>50</v>
      </c>
      <c r="E3661" s="5" t="s">
        <v>384</v>
      </c>
      <c r="F3661" s="9">
        <v>111</v>
      </c>
      <c r="G3661" s="9">
        <v>1295</v>
      </c>
      <c r="H3661" s="5" t="s">
        <v>20</v>
      </c>
      <c r="I3661" s="5" t="s">
        <v>8472</v>
      </c>
      <c r="J3661" s="12" t="str">
        <f>HYPERLINK("https://www.boe.es/gazeta/dias/1807/12/15/pdfs/GMD-1807-111.pdf#page=7","Abrir facsímil")</f>
        <v>Abrir facsímil</v>
      </c>
      <c r="K3661" s="15" t="s">
        <v>22</v>
      </c>
    </row>
    <row r="3662" spans="1:11" ht="42" customHeight="1">
      <c r="A3662" s="4" t="s">
        <v>8473</v>
      </c>
      <c r="B3662" s="5" t="s">
        <v>8474</v>
      </c>
      <c r="C3662" s="5" t="s">
        <v>49</v>
      </c>
      <c r="D3662" s="5" t="s">
        <v>50</v>
      </c>
      <c r="E3662" s="5" t="s">
        <v>259</v>
      </c>
      <c r="F3662" s="9">
        <v>3</v>
      </c>
      <c r="G3662" s="9">
        <v>23</v>
      </c>
      <c r="H3662" s="5" t="s">
        <v>20</v>
      </c>
      <c r="I3662" s="5" t="s">
        <v>8475</v>
      </c>
      <c r="J3662" s="12" t="str">
        <f>HYPERLINK("https://www.boe.es/gazeta/dias/1807/01/09/pdfs/GMD-1807-3.pdf#page=3","Abrir facsímil")</f>
        <v>Abrir facsímil</v>
      </c>
      <c r="K3662" s="15" t="s">
        <v>22</v>
      </c>
    </row>
    <row r="3663" spans="1:11" ht="42" customHeight="1">
      <c r="A3663" s="4" t="s">
        <v>8476</v>
      </c>
      <c r="B3663" s="5" t="s">
        <v>8477</v>
      </c>
      <c r="C3663" s="5" t="s">
        <v>34</v>
      </c>
      <c r="D3663" s="5" t="s">
        <v>35</v>
      </c>
      <c r="E3663" s="5" t="s">
        <v>83</v>
      </c>
      <c r="F3663" s="9">
        <v>50</v>
      </c>
      <c r="G3663" s="9">
        <v>595</v>
      </c>
      <c r="H3663" s="5" t="s">
        <v>20</v>
      </c>
      <c r="I3663" s="5" t="s">
        <v>8478</v>
      </c>
      <c r="J3663" s="12" t="str">
        <f>HYPERLINK("https://www.boe.es/gazeta/dias/1807/06/12/pdfs/GMD-1807-50.pdf#page=9","Abrir facsímil")</f>
        <v>Abrir facsímil</v>
      </c>
      <c r="K3663" s="15" t="s">
        <v>22</v>
      </c>
    </row>
    <row r="3664" spans="1:11" ht="42" customHeight="1">
      <c r="A3664" s="4" t="s">
        <v>8479</v>
      </c>
      <c r="B3664" s="5" t="s">
        <v>8480</v>
      </c>
      <c r="C3664" s="5" t="s">
        <v>17</v>
      </c>
      <c r="D3664" s="5" t="s">
        <v>18</v>
      </c>
      <c r="E3664" s="5" t="s">
        <v>221</v>
      </c>
      <c r="F3664" s="9">
        <v>73</v>
      </c>
      <c r="G3664" s="9">
        <v>846</v>
      </c>
      <c r="H3664" s="5" t="s">
        <v>20</v>
      </c>
      <c r="I3664" s="5" t="s">
        <v>8481</v>
      </c>
      <c r="J3664" s="12" t="str">
        <f>HYPERLINK("https://www.boe.es/gazeta/dias/1807/08/14/pdfs/GMD-1807-73.pdf#page=10","Abrir facsímil")</f>
        <v>Abrir facsímil</v>
      </c>
      <c r="K3664" s="15" t="s">
        <v>22</v>
      </c>
    </row>
    <row r="3665" spans="1:11" ht="42" customHeight="1">
      <c r="A3665" s="4" t="s">
        <v>8482</v>
      </c>
      <c r="B3665" s="5" t="s">
        <v>8483</v>
      </c>
      <c r="C3665" s="5" t="s">
        <v>34</v>
      </c>
      <c r="D3665" s="5" t="s">
        <v>35</v>
      </c>
      <c r="E3665" s="5" t="s">
        <v>111</v>
      </c>
      <c r="F3665" s="9">
        <v>90</v>
      </c>
      <c r="G3665" s="9">
        <v>1044</v>
      </c>
      <c r="H3665" s="5" t="s">
        <v>20</v>
      </c>
      <c r="I3665" s="5" t="s">
        <v>8484</v>
      </c>
      <c r="J3665" s="12" t="str">
        <f>HYPERLINK("https://www.boe.es/gazeta/dias/1807/10/06/pdfs/GMD-1807-90.pdf#page=12","Abrir facsímil")</f>
        <v>Abrir facsímil</v>
      </c>
      <c r="K3665" s="15" t="s">
        <v>22</v>
      </c>
    </row>
    <row r="3666" spans="1:11" ht="42" customHeight="1">
      <c r="A3666" s="4" t="s">
        <v>8485</v>
      </c>
      <c r="B3666" s="5" t="s">
        <v>8486</v>
      </c>
      <c r="C3666" s="5" t="s">
        <v>24</v>
      </c>
      <c r="D3666" s="5" t="s">
        <v>18</v>
      </c>
      <c r="E3666" s="5" t="s">
        <v>62</v>
      </c>
      <c r="F3666" s="9">
        <v>68</v>
      </c>
      <c r="G3666" s="9">
        <v>786</v>
      </c>
      <c r="H3666" s="5" t="s">
        <v>20</v>
      </c>
      <c r="I3666" s="5" t="s">
        <v>8487</v>
      </c>
      <c r="J3666" s="12" t="str">
        <f>HYPERLINK("https://www.boe.es/gazeta/dias/1807/07/31/pdfs/GMD-1807-68.pdf#page=10","Abrir facsímil")</f>
        <v>Abrir facsímil</v>
      </c>
      <c r="K3666" s="15" t="s">
        <v>22</v>
      </c>
    </row>
    <row r="3667" spans="1:11" ht="42" customHeight="1">
      <c r="A3667" s="4" t="s">
        <v>8485</v>
      </c>
      <c r="B3667" s="5" t="s">
        <v>8486</v>
      </c>
      <c r="C3667" s="5" t="s">
        <v>24</v>
      </c>
      <c r="D3667" s="5" t="s">
        <v>18</v>
      </c>
      <c r="E3667" s="5" t="s">
        <v>91</v>
      </c>
      <c r="F3667" s="9">
        <v>109</v>
      </c>
      <c r="G3667" s="9">
        <v>1274</v>
      </c>
      <c r="H3667" s="5" t="s">
        <v>20</v>
      </c>
      <c r="I3667" s="5" t="s">
        <v>8488</v>
      </c>
      <c r="J3667" s="12" t="str">
        <f>HYPERLINK("https://www.boe.es/gazeta/dias/1807/12/08/pdfs/GMD-1807-109.pdf#page=10","Abrir facsímil")</f>
        <v>Abrir facsímil</v>
      </c>
      <c r="K3667" s="15" t="s">
        <v>22</v>
      </c>
    </row>
    <row r="3668" spans="1:11" ht="42" customHeight="1">
      <c r="A3668" s="4" t="s">
        <v>8489</v>
      </c>
      <c r="B3668" s="5" t="s">
        <v>8490</v>
      </c>
      <c r="C3668" s="5" t="s">
        <v>89</v>
      </c>
      <c r="D3668" s="5" t="s">
        <v>90</v>
      </c>
      <c r="E3668" s="5" t="s">
        <v>25</v>
      </c>
      <c r="F3668" s="9">
        <v>45</v>
      </c>
      <c r="G3668" s="9">
        <v>540</v>
      </c>
      <c r="H3668" s="5" t="s">
        <v>20</v>
      </c>
      <c r="I3668" s="5" t="s">
        <v>8491</v>
      </c>
      <c r="J3668" s="12" t="str">
        <f>HYPERLINK("https://www.boe.es/gazeta/dias/1807/05/26/pdfs/GMD-1807-45.pdf#page=10","Abrir facsímil")</f>
        <v>Abrir facsímil</v>
      </c>
      <c r="K3668" s="15" t="s">
        <v>22</v>
      </c>
    </row>
    <row r="3669" spans="1:11" ht="42" customHeight="1">
      <c r="A3669" s="4" t="s">
        <v>8492</v>
      </c>
      <c r="B3669" s="5" t="s">
        <v>8493</v>
      </c>
      <c r="C3669" s="5" t="s">
        <v>17</v>
      </c>
      <c r="D3669" s="5" t="s">
        <v>18</v>
      </c>
      <c r="E3669" s="5" t="s">
        <v>266</v>
      </c>
      <c r="F3669" s="9">
        <v>67</v>
      </c>
      <c r="G3669" s="9">
        <v>773</v>
      </c>
      <c r="H3669" s="5" t="s">
        <v>20</v>
      </c>
      <c r="I3669" s="5" t="s">
        <v>8494</v>
      </c>
      <c r="J3669" s="12" t="str">
        <f>HYPERLINK("https://www.boe.es/gazeta/dias/1807/07/28/pdfs/GMD-1807-67.pdf#page=9","Abrir facsímil")</f>
        <v>Abrir facsímil</v>
      </c>
      <c r="K3669" s="15" t="s">
        <v>22</v>
      </c>
    </row>
    <row r="3670" spans="1:11" ht="42" customHeight="1">
      <c r="A3670" s="4" t="s">
        <v>8495</v>
      </c>
      <c r="B3670" s="5" t="s">
        <v>8496</v>
      </c>
      <c r="C3670" s="5" t="s">
        <v>24</v>
      </c>
      <c r="D3670" s="5" t="s">
        <v>18</v>
      </c>
      <c r="E3670" s="5" t="s">
        <v>561</v>
      </c>
      <c r="F3670" s="9">
        <v>44</v>
      </c>
      <c r="G3670" s="9">
        <v>529</v>
      </c>
      <c r="H3670" s="5" t="s">
        <v>20</v>
      </c>
      <c r="I3670" s="5" t="s">
        <v>8497</v>
      </c>
      <c r="J3670" s="12" t="str">
        <f>HYPERLINK("https://www.boe.es/gazeta/dias/1807/05/22/pdfs/GMD-1807-44.pdf#page=11","Abrir facsímil")</f>
        <v>Abrir facsímil</v>
      </c>
      <c r="K3670" s="15" t="s">
        <v>22</v>
      </c>
    </row>
    <row r="3671" spans="1:11" ht="42" customHeight="1">
      <c r="A3671" s="4" t="s">
        <v>8495</v>
      </c>
      <c r="B3671" s="5" t="s">
        <v>8496</v>
      </c>
      <c r="C3671" s="5" t="s">
        <v>24</v>
      </c>
      <c r="D3671" s="5" t="s">
        <v>18</v>
      </c>
      <c r="E3671" s="5" t="s">
        <v>91</v>
      </c>
      <c r="F3671" s="9">
        <v>109</v>
      </c>
      <c r="G3671" s="9">
        <v>1274</v>
      </c>
      <c r="H3671" s="5" t="s">
        <v>20</v>
      </c>
      <c r="I3671" s="5" t="s">
        <v>8498</v>
      </c>
      <c r="J3671" s="12" t="str">
        <f>HYPERLINK("https://www.boe.es/gazeta/dias/1807/12/08/pdfs/GMD-1807-109.pdf#page=10","Abrir facsímil")</f>
        <v>Abrir facsímil</v>
      </c>
      <c r="K3671" s="15" t="s">
        <v>22</v>
      </c>
    </row>
    <row r="3672" spans="1:11" ht="42" customHeight="1">
      <c r="A3672" s="4" t="s">
        <v>8499</v>
      </c>
      <c r="B3672" s="5" t="s">
        <v>8500</v>
      </c>
      <c r="C3672" s="5" t="s">
        <v>34</v>
      </c>
      <c r="D3672" s="5" t="s">
        <v>35</v>
      </c>
      <c r="E3672" s="5" t="s">
        <v>654</v>
      </c>
      <c r="F3672" s="9">
        <v>94</v>
      </c>
      <c r="G3672" s="9">
        <v>1093</v>
      </c>
      <c r="H3672" s="5" t="s">
        <v>20</v>
      </c>
      <c r="I3672" s="5" t="s">
        <v>8501</v>
      </c>
      <c r="J3672" s="12" t="str">
        <f>HYPERLINK("https://www.boe.es/gazeta/dias/1807/10/20/pdfs/GMD-1807-94.pdf#page=9","Abrir facsímil")</f>
        <v>Abrir facsímil</v>
      </c>
      <c r="K3672" s="15" t="s">
        <v>22</v>
      </c>
    </row>
    <row r="3673" spans="1:11" ht="42" customHeight="1">
      <c r="A3673" s="4" t="s">
        <v>8502</v>
      </c>
      <c r="B3673" s="5" t="s">
        <v>8503</v>
      </c>
      <c r="C3673" s="5" t="s">
        <v>17</v>
      </c>
      <c r="D3673" s="5" t="s">
        <v>18</v>
      </c>
      <c r="E3673" s="5" t="s">
        <v>120</v>
      </c>
      <c r="F3673" s="9">
        <v>10</v>
      </c>
      <c r="G3673" s="9">
        <v>115</v>
      </c>
      <c r="H3673" s="5" t="s">
        <v>20</v>
      </c>
      <c r="I3673" s="5" t="s">
        <v>8504</v>
      </c>
      <c r="J3673" s="12" t="str">
        <f>HYPERLINK("https://www.boe.es/gazeta/dias/1807/01/27/pdfs/GMD-1807-10.pdf#page=11","Abrir facsímil")</f>
        <v>Abrir facsímil</v>
      </c>
      <c r="K3673" s="15" t="s">
        <v>22</v>
      </c>
    </row>
    <row r="3674" spans="1:11" ht="42" customHeight="1">
      <c r="A3674" s="4" t="s">
        <v>8505</v>
      </c>
      <c r="B3674" s="5" t="s">
        <v>8506</v>
      </c>
      <c r="C3674" s="5" t="s">
        <v>69</v>
      </c>
      <c r="D3674" s="5" t="s">
        <v>70</v>
      </c>
      <c r="E3674" s="5" t="s">
        <v>71</v>
      </c>
      <c r="F3674" s="9">
        <v>35</v>
      </c>
      <c r="G3674" s="9" t="s">
        <v>2055</v>
      </c>
      <c r="H3674" s="5" t="s">
        <v>20</v>
      </c>
      <c r="I3674" s="5" t="s">
        <v>8507</v>
      </c>
      <c r="J3674" s="12" t="str">
        <f>HYPERLINK("https://www.boe.es/gazeta/dias/1807/04/21/pdfs/C00001-00004.pdf#page=2","Abrir facsímil")</f>
        <v>Abrir facsímil</v>
      </c>
      <c r="K3674" s="15" t="s">
        <v>22</v>
      </c>
    </row>
    <row r="3675" spans="1:11" ht="42" customHeight="1">
      <c r="A3675" s="4" t="s">
        <v>8508</v>
      </c>
      <c r="B3675" s="5" t="s">
        <v>8509</v>
      </c>
      <c r="C3675" s="5" t="s">
        <v>89</v>
      </c>
      <c r="D3675" s="5" t="s">
        <v>90</v>
      </c>
      <c r="E3675" s="5" t="s">
        <v>19</v>
      </c>
      <c r="F3675" s="9">
        <v>41</v>
      </c>
      <c r="G3675" s="9">
        <v>493</v>
      </c>
      <c r="H3675" s="5" t="s">
        <v>20</v>
      </c>
      <c r="I3675" s="5" t="s">
        <v>8510</v>
      </c>
      <c r="J3675" s="12" t="str">
        <f>HYPERLINK("https://www.boe.es/gazeta/dias/1807/05/12/pdfs/GMD-1807-41.pdf#page=11","Abrir facsímil")</f>
        <v>Abrir facsímil</v>
      </c>
      <c r="K3675" s="15" t="s">
        <v>22</v>
      </c>
    </row>
    <row r="3676" spans="1:11" ht="42" customHeight="1">
      <c r="A3676" s="4" t="s">
        <v>8511</v>
      </c>
      <c r="B3676" s="5" t="s">
        <v>8512</v>
      </c>
      <c r="C3676" s="5" t="s">
        <v>34</v>
      </c>
      <c r="D3676" s="5" t="s">
        <v>35</v>
      </c>
      <c r="E3676" s="5" t="s">
        <v>686</v>
      </c>
      <c r="F3676" s="9">
        <v>106</v>
      </c>
      <c r="G3676" s="9">
        <v>1238</v>
      </c>
      <c r="H3676" s="5" t="s">
        <v>20</v>
      </c>
      <c r="I3676" s="5" t="s">
        <v>8513</v>
      </c>
      <c r="J3676" s="12" t="str">
        <f>HYPERLINK("https://www.boe.es/gazeta/dias/1807/11/27/pdfs/GMD-1807-106.pdf#page=10","Abrir facsímil")</f>
        <v>Abrir facsímil</v>
      </c>
      <c r="K3676" s="15" t="s">
        <v>22</v>
      </c>
    </row>
    <row r="3677" spans="1:11" ht="42" customHeight="1">
      <c r="A3677" s="4" t="s">
        <v>8514</v>
      </c>
      <c r="B3677" s="5" t="s">
        <v>8515</v>
      </c>
      <c r="C3677" s="5" t="s">
        <v>24</v>
      </c>
      <c r="D3677" s="5" t="s">
        <v>18</v>
      </c>
      <c r="E3677" s="5" t="s">
        <v>98</v>
      </c>
      <c r="F3677" s="9">
        <v>34</v>
      </c>
      <c r="G3677" s="9">
        <v>404</v>
      </c>
      <c r="H3677" s="5" t="s">
        <v>20</v>
      </c>
      <c r="I3677" s="5" t="s">
        <v>8516</v>
      </c>
      <c r="J3677" s="12" t="str">
        <f>HYPERLINK("https://www.boe.es/gazeta/dias/1807/04/17/pdfs/GMD-1807-34.pdf#page=8","Abrir facsímil")</f>
        <v>Abrir facsímil</v>
      </c>
      <c r="K3677" s="15" t="s">
        <v>22</v>
      </c>
    </row>
    <row r="3678" spans="1:11" ht="42" customHeight="1">
      <c r="A3678" s="4" t="s">
        <v>8517</v>
      </c>
      <c r="B3678" s="5" t="s">
        <v>8518</v>
      </c>
      <c r="C3678" s="5" t="s">
        <v>17</v>
      </c>
      <c r="D3678" s="5" t="s">
        <v>18</v>
      </c>
      <c r="E3678" s="5" t="s">
        <v>46</v>
      </c>
      <c r="F3678" s="9">
        <v>78</v>
      </c>
      <c r="G3678" s="9">
        <v>905</v>
      </c>
      <c r="H3678" s="5" t="s">
        <v>20</v>
      </c>
      <c r="I3678" s="5" t="s">
        <v>8519</v>
      </c>
      <c r="J3678" s="12" t="str">
        <f>HYPERLINK("https://www.boe.es/gazeta/dias/1807/09/01/pdfs/GMD-1807-78.pdf#page=9","Abrir facsímil")</f>
        <v>Abrir facsímil</v>
      </c>
      <c r="K3678" s="15" t="s">
        <v>22</v>
      </c>
    </row>
    <row r="3679" spans="1:11" ht="42" customHeight="1">
      <c r="A3679" s="4" t="s">
        <v>8520</v>
      </c>
      <c r="B3679" s="5" t="s">
        <v>8521</v>
      </c>
      <c r="C3679" s="5" t="s">
        <v>28</v>
      </c>
      <c r="D3679" s="5" t="s">
        <v>29</v>
      </c>
      <c r="E3679" s="5" t="s">
        <v>620</v>
      </c>
      <c r="F3679" s="9">
        <v>84</v>
      </c>
      <c r="G3679" s="9">
        <v>984</v>
      </c>
      <c r="H3679" s="5" t="s">
        <v>20</v>
      </c>
      <c r="I3679" s="5" t="s">
        <v>8522</v>
      </c>
      <c r="J3679" s="12" t="str">
        <f>HYPERLINK("https://www.boe.es/gazeta/dias/1807/09/22/pdfs/GMD-1807-84.pdf#page=12","Abrir facsímil")</f>
        <v>Abrir facsímil</v>
      </c>
      <c r="K3679" s="15" t="s">
        <v>22</v>
      </c>
    </row>
    <row r="3680" spans="1:11" ht="42" customHeight="1">
      <c r="A3680" s="4" t="s">
        <v>8523</v>
      </c>
      <c r="B3680" s="5" t="s">
        <v>8524</v>
      </c>
      <c r="C3680" s="5" t="s">
        <v>34</v>
      </c>
      <c r="D3680" s="5" t="s">
        <v>35</v>
      </c>
      <c r="E3680" s="5" t="s">
        <v>176</v>
      </c>
      <c r="F3680" s="9">
        <v>17</v>
      </c>
      <c r="G3680" s="9">
        <v>196</v>
      </c>
      <c r="H3680" s="5" t="s">
        <v>20</v>
      </c>
      <c r="I3680" s="5" t="s">
        <v>8525</v>
      </c>
      <c r="J3680" s="12" t="str">
        <f>HYPERLINK("https://www.boe.es/gazeta/dias/1807/02/20/pdfs/GMD-1807-17.pdf#page=8","Abrir facsímil")</f>
        <v>Abrir facsímil</v>
      </c>
      <c r="K3680" s="15" t="s">
        <v>22</v>
      </c>
    </row>
    <row r="3681" spans="1:11" ht="42" customHeight="1">
      <c r="A3681" s="4" t="s">
        <v>8526</v>
      </c>
      <c r="B3681" s="5" t="s">
        <v>8527</v>
      </c>
      <c r="C3681" s="5" t="s">
        <v>34</v>
      </c>
      <c r="D3681" s="5" t="s">
        <v>35</v>
      </c>
      <c r="E3681" s="5" t="s">
        <v>79</v>
      </c>
      <c r="F3681" s="9">
        <v>11</v>
      </c>
      <c r="G3681" s="9">
        <v>118</v>
      </c>
      <c r="H3681" s="5" t="s">
        <v>20</v>
      </c>
      <c r="I3681" s="5" t="s">
        <v>8528</v>
      </c>
      <c r="J3681" s="12" t="str">
        <f>HYPERLINK("https://www.boe.es/gazeta/dias/1807/01/30/pdfs/GMD-1807-11.pdf#page=2","Abrir facsímil")</f>
        <v>Abrir facsímil</v>
      </c>
      <c r="K3681" s="15" t="s">
        <v>22</v>
      </c>
    </row>
    <row r="3682" spans="1:11" ht="42" customHeight="1">
      <c r="A3682" s="4" t="s">
        <v>8529</v>
      </c>
      <c r="B3682" s="5" t="s">
        <v>8530</v>
      </c>
      <c r="C3682" s="5" t="s">
        <v>34</v>
      </c>
      <c r="D3682" s="5" t="s">
        <v>35</v>
      </c>
      <c r="E3682" s="5" t="s">
        <v>390</v>
      </c>
      <c r="F3682" s="9">
        <v>24</v>
      </c>
      <c r="G3682" s="9">
        <v>288</v>
      </c>
      <c r="H3682" s="5" t="s">
        <v>20</v>
      </c>
      <c r="I3682" s="5" t="s">
        <v>8531</v>
      </c>
      <c r="J3682" s="12" t="str">
        <f>HYPERLINK("https://www.boe.es/gazeta/dias/1807/03/13/pdfs/GMD-1807-24.pdf#page=12","Abrir facsímil")</f>
        <v>Abrir facsímil</v>
      </c>
      <c r="K3682" s="15" t="s">
        <v>22</v>
      </c>
    </row>
    <row r="3683" spans="1:11" ht="42" customHeight="1">
      <c r="A3683" s="4" t="s">
        <v>8532</v>
      </c>
      <c r="B3683" s="5" t="s">
        <v>8533</v>
      </c>
      <c r="C3683" s="5" t="s">
        <v>49</v>
      </c>
      <c r="D3683" s="5" t="s">
        <v>50</v>
      </c>
      <c r="E3683" s="5" t="s">
        <v>1934</v>
      </c>
      <c r="F3683" s="9">
        <v>2</v>
      </c>
      <c r="G3683" s="9">
        <v>15</v>
      </c>
      <c r="H3683" s="5" t="s">
        <v>20</v>
      </c>
      <c r="I3683" s="5" t="s">
        <v>8534</v>
      </c>
      <c r="J3683" s="12" t="str">
        <f>HYPERLINK("https://www.boe.es/gazeta/dias/1807/01/06/pdfs/GMD-1807-2.pdf#page=3","Abrir facsímil")</f>
        <v>Abrir facsímil</v>
      </c>
      <c r="K3683" s="15" t="s">
        <v>22</v>
      </c>
    </row>
    <row r="3684" spans="1:11" ht="42" customHeight="1">
      <c r="A3684" s="4" t="s">
        <v>8532</v>
      </c>
      <c r="B3684" s="5" t="s">
        <v>8533</v>
      </c>
      <c r="C3684" s="5" t="s">
        <v>34</v>
      </c>
      <c r="D3684" s="5" t="s">
        <v>35</v>
      </c>
      <c r="E3684" s="5" t="s">
        <v>418</v>
      </c>
      <c r="F3684" s="9">
        <v>4</v>
      </c>
      <c r="G3684" s="9">
        <v>38</v>
      </c>
      <c r="H3684" s="5" t="s">
        <v>20</v>
      </c>
      <c r="I3684" s="5" t="s">
        <v>8535</v>
      </c>
      <c r="J3684" s="12" t="str">
        <f>HYPERLINK("https://www.boe.es/gazeta/dias/1807/01/13/pdfs/GMD-1807-4.pdf#page=6","Abrir facsímil")</f>
        <v>Abrir facsímil</v>
      </c>
      <c r="K3684" s="15" t="s">
        <v>22</v>
      </c>
    </row>
    <row r="3685" spans="1:11" ht="42" customHeight="1">
      <c r="A3685" s="4" t="s">
        <v>8532</v>
      </c>
      <c r="B3685" s="5" t="s">
        <v>8533</v>
      </c>
      <c r="C3685" s="5" t="s">
        <v>28</v>
      </c>
      <c r="D3685" s="5" t="s">
        <v>29</v>
      </c>
      <c r="E3685" s="5" t="s">
        <v>215</v>
      </c>
      <c r="F3685" s="9">
        <v>5</v>
      </c>
      <c r="G3685" s="9">
        <v>46</v>
      </c>
      <c r="H3685" s="5" t="s">
        <v>20</v>
      </c>
      <c r="I3685" s="5" t="s">
        <v>8536</v>
      </c>
      <c r="J3685" s="12" t="str">
        <f>HYPERLINK("https://www.boe.es/gazeta/dias/1807/01/16/pdfs/GMD-1807-5.pdf#page=2","Abrir facsímil")</f>
        <v>Abrir facsímil</v>
      </c>
      <c r="K3685" s="15" t="s">
        <v>22</v>
      </c>
    </row>
    <row r="3686" spans="1:11" ht="42" customHeight="1">
      <c r="A3686" s="4" t="s">
        <v>8532</v>
      </c>
      <c r="B3686" s="5" t="s">
        <v>8533</v>
      </c>
      <c r="C3686" s="5" t="s">
        <v>49</v>
      </c>
      <c r="D3686" s="5" t="s">
        <v>50</v>
      </c>
      <c r="E3686" s="5" t="s">
        <v>76</v>
      </c>
      <c r="F3686" s="9">
        <v>7</v>
      </c>
      <c r="G3686" s="9">
        <v>69</v>
      </c>
      <c r="H3686" s="5" t="s">
        <v>20</v>
      </c>
      <c r="I3686" s="5" t="s">
        <v>8537</v>
      </c>
      <c r="J3686" s="12" t="str">
        <f>HYPERLINK("https://www.boe.es/gazeta/dias/1807/01/20/pdfs/GMD-1807-7.pdf#page=1","Abrir facsímil")</f>
        <v>Abrir facsímil</v>
      </c>
      <c r="K3686" s="15" t="s">
        <v>22</v>
      </c>
    </row>
    <row r="3687" spans="1:11" ht="42" customHeight="1">
      <c r="A3687" s="4" t="s">
        <v>8532</v>
      </c>
      <c r="B3687" s="5" t="s">
        <v>8533</v>
      </c>
      <c r="C3687" s="5" t="s">
        <v>49</v>
      </c>
      <c r="D3687" s="5" t="s">
        <v>50</v>
      </c>
      <c r="E3687" s="5" t="s">
        <v>30</v>
      </c>
      <c r="F3687" s="9">
        <v>13</v>
      </c>
      <c r="G3687" s="9">
        <v>142</v>
      </c>
      <c r="H3687" s="5" t="s">
        <v>20</v>
      </c>
      <c r="I3687" s="5" t="s">
        <v>8538</v>
      </c>
      <c r="J3687" s="12" t="str">
        <f>HYPERLINK("https://www.boe.es/gazeta/dias/1807/02/06/pdfs/GMD-1807-13.pdf#page=2","Abrir facsímil")</f>
        <v>Abrir facsímil</v>
      </c>
      <c r="K3687" s="15" t="s">
        <v>22</v>
      </c>
    </row>
    <row r="3688" spans="1:11" ht="42" customHeight="1">
      <c r="A3688" s="4" t="s">
        <v>8532</v>
      </c>
      <c r="B3688" s="5" t="s">
        <v>8533</v>
      </c>
      <c r="C3688" s="5" t="s">
        <v>49</v>
      </c>
      <c r="D3688" s="5" t="s">
        <v>50</v>
      </c>
      <c r="E3688" s="5" t="s">
        <v>572</v>
      </c>
      <c r="F3688" s="9">
        <v>14</v>
      </c>
      <c r="G3688" s="9">
        <v>156</v>
      </c>
      <c r="H3688" s="5" t="s">
        <v>20</v>
      </c>
      <c r="I3688" s="5" t="s">
        <v>8539</v>
      </c>
      <c r="J3688" s="12" t="str">
        <f>HYPERLINK("https://www.boe.es/gazeta/dias/1807/02/10/pdfs/GMD-1807-14.pdf#page=4","Abrir facsímil")</f>
        <v>Abrir facsímil</v>
      </c>
      <c r="K3688" s="15" t="s">
        <v>22</v>
      </c>
    </row>
    <row r="3689" spans="1:11" ht="42" customHeight="1">
      <c r="A3689" s="4" t="s">
        <v>8532</v>
      </c>
      <c r="B3689" s="5" t="s">
        <v>8533</v>
      </c>
      <c r="C3689" s="5" t="s">
        <v>28</v>
      </c>
      <c r="D3689" s="5" t="s">
        <v>29</v>
      </c>
      <c r="E3689" s="5" t="s">
        <v>282</v>
      </c>
      <c r="F3689" s="9">
        <v>16</v>
      </c>
      <c r="G3689" s="9">
        <v>184</v>
      </c>
      <c r="H3689" s="5" t="s">
        <v>20</v>
      </c>
      <c r="I3689" s="5" t="s">
        <v>8540</v>
      </c>
      <c r="J3689" s="12" t="str">
        <f>HYPERLINK("https://www.boe.es/gazeta/dias/1807/02/17/pdfs/GMD-1807-16.pdf#page=8","Abrir facsímil")</f>
        <v>Abrir facsímil</v>
      </c>
      <c r="K3689" s="15" t="s">
        <v>22</v>
      </c>
    </row>
    <row r="3690" spans="1:11" ht="42" customHeight="1">
      <c r="A3690" s="4" t="s">
        <v>8532</v>
      </c>
      <c r="B3690" s="5" t="s">
        <v>8533</v>
      </c>
      <c r="C3690" s="5" t="s">
        <v>49</v>
      </c>
      <c r="D3690" s="5" t="s">
        <v>50</v>
      </c>
      <c r="E3690" s="5" t="s">
        <v>176</v>
      </c>
      <c r="F3690" s="9">
        <v>17</v>
      </c>
      <c r="G3690" s="9">
        <v>191</v>
      </c>
      <c r="H3690" s="5" t="s">
        <v>20</v>
      </c>
      <c r="I3690" s="5" t="s">
        <v>8541</v>
      </c>
      <c r="J3690" s="12" t="str">
        <f>HYPERLINK("https://www.boe.es/gazeta/dias/1807/02/20/pdfs/GMD-1807-17.pdf#page=3","Abrir facsímil")</f>
        <v>Abrir facsímil</v>
      </c>
      <c r="K3690" s="15" t="s">
        <v>22</v>
      </c>
    </row>
    <row r="3691" spans="1:11" ht="42" customHeight="1">
      <c r="A3691" s="4" t="s">
        <v>8532</v>
      </c>
      <c r="B3691" s="5" t="s">
        <v>8533</v>
      </c>
      <c r="C3691" s="5" t="s">
        <v>49</v>
      </c>
      <c r="D3691" s="5" t="s">
        <v>50</v>
      </c>
      <c r="E3691" s="5" t="s">
        <v>376</v>
      </c>
      <c r="F3691" s="9">
        <v>19</v>
      </c>
      <c r="G3691" s="9">
        <v>218</v>
      </c>
      <c r="H3691" s="5" t="s">
        <v>20</v>
      </c>
      <c r="I3691" s="5" t="s">
        <v>8542</v>
      </c>
      <c r="J3691" s="12" t="str">
        <f>HYPERLINK("https://www.boe.es/gazeta/dias/1807/02/27/pdfs/GMD-1807-19.pdf#page=2","Abrir facsímil")</f>
        <v>Abrir facsímil</v>
      </c>
      <c r="K3691" s="15" t="s">
        <v>22</v>
      </c>
    </row>
    <row r="3692" spans="1:11" ht="42" customHeight="1">
      <c r="A3692" s="4" t="s">
        <v>8532</v>
      </c>
      <c r="B3692" s="5" t="s">
        <v>8533</v>
      </c>
      <c r="C3692" s="5" t="s">
        <v>24</v>
      </c>
      <c r="D3692" s="5" t="s">
        <v>18</v>
      </c>
      <c r="E3692" s="5" t="s">
        <v>376</v>
      </c>
      <c r="F3692" s="9">
        <v>19</v>
      </c>
      <c r="G3692" s="9">
        <v>219</v>
      </c>
      <c r="H3692" s="5" t="s">
        <v>20</v>
      </c>
      <c r="I3692" s="5" t="s">
        <v>8543</v>
      </c>
      <c r="J3692" s="12" t="str">
        <f>HYPERLINK("https://www.boe.es/gazeta/dias/1807/02/27/pdfs/GMD-1807-19.pdf#page=3","Abrir facsímil")</f>
        <v>Abrir facsímil</v>
      </c>
      <c r="K3692" s="15" t="s">
        <v>22</v>
      </c>
    </row>
    <row r="3693" spans="1:11" ht="42" customHeight="1">
      <c r="A3693" s="4" t="s">
        <v>8532</v>
      </c>
      <c r="B3693" s="5" t="s">
        <v>8533</v>
      </c>
      <c r="C3693" s="5" t="s">
        <v>49</v>
      </c>
      <c r="D3693" s="5" t="s">
        <v>50</v>
      </c>
      <c r="E3693" s="5" t="s">
        <v>346</v>
      </c>
      <c r="F3693" s="9">
        <v>21</v>
      </c>
      <c r="G3693" s="9">
        <v>239</v>
      </c>
      <c r="H3693" s="5" t="s">
        <v>20</v>
      </c>
      <c r="I3693" s="5" t="s">
        <v>8544</v>
      </c>
      <c r="J3693" s="12" t="str">
        <f>HYPERLINK("https://www.boe.es/gazeta/dias/1807/03/03/pdfs/GMD-1807-21.pdf#page=3","Abrir facsímil")</f>
        <v>Abrir facsímil</v>
      </c>
      <c r="K3693" s="15" t="s">
        <v>22</v>
      </c>
    </row>
    <row r="3694" spans="1:11" ht="42" customHeight="1">
      <c r="A3694" s="4" t="s">
        <v>8545</v>
      </c>
      <c r="B3694" s="5" t="s">
        <v>8546</v>
      </c>
      <c r="C3694" s="5" t="s">
        <v>34</v>
      </c>
      <c r="D3694" s="5" t="s">
        <v>35</v>
      </c>
      <c r="E3694" s="5" t="s">
        <v>25</v>
      </c>
      <c r="F3694" s="9">
        <v>45</v>
      </c>
      <c r="G3694" s="9">
        <v>531</v>
      </c>
      <c r="H3694" s="5" t="s">
        <v>20</v>
      </c>
      <c r="I3694" s="5" t="s">
        <v>8547</v>
      </c>
      <c r="J3694" s="12" t="str">
        <f>HYPERLINK("https://www.boe.es/gazeta/dias/1807/05/26/pdfs/GMD-1807-45.pdf#page=1","Abrir facsímil")</f>
        <v>Abrir facsímil</v>
      </c>
      <c r="K3694" s="15" t="s">
        <v>22</v>
      </c>
    </row>
    <row r="3695" spans="1:11" ht="42" customHeight="1">
      <c r="A3695" s="4" t="s">
        <v>8548</v>
      </c>
      <c r="B3695" s="5" t="s">
        <v>8549</v>
      </c>
      <c r="C3695" s="5" t="s">
        <v>49</v>
      </c>
      <c r="D3695" s="5" t="s">
        <v>50</v>
      </c>
      <c r="E3695" s="5" t="s">
        <v>176</v>
      </c>
      <c r="F3695" s="9">
        <v>17</v>
      </c>
      <c r="G3695" s="9">
        <v>190</v>
      </c>
      <c r="H3695" s="5" t="s">
        <v>20</v>
      </c>
      <c r="I3695" s="5" t="s">
        <v>8550</v>
      </c>
      <c r="J3695" s="12" t="str">
        <f>HYPERLINK("https://www.boe.es/gazeta/dias/1807/02/20/pdfs/GMD-1807-17.pdf#page=2","Abrir facsímil")</f>
        <v>Abrir facsímil</v>
      </c>
      <c r="K3695" s="15" t="s">
        <v>22</v>
      </c>
    </row>
    <row r="3696" spans="1:11" ht="42" customHeight="1">
      <c r="A3696" s="4" t="s">
        <v>8551</v>
      </c>
      <c r="B3696" s="5" t="s">
        <v>8551</v>
      </c>
      <c r="C3696" s="5" t="s">
        <v>34</v>
      </c>
      <c r="D3696" s="5" t="s">
        <v>35</v>
      </c>
      <c r="E3696" s="5" t="s">
        <v>686</v>
      </c>
      <c r="F3696" s="9">
        <v>106</v>
      </c>
      <c r="G3696" s="9">
        <v>1232</v>
      </c>
      <c r="H3696" s="5" t="s">
        <v>20</v>
      </c>
      <c r="I3696" s="5" t="s">
        <v>8552</v>
      </c>
      <c r="J3696" s="12" t="str">
        <f>HYPERLINK("https://www.boe.es/gazeta/dias/1807/11/27/pdfs/GMD-1807-106.pdf#page=4","Abrir facsímil")</f>
        <v>Abrir facsímil</v>
      </c>
      <c r="K3696" s="15" t="s">
        <v>22</v>
      </c>
    </row>
    <row r="3697" spans="1:11" ht="42" customHeight="1">
      <c r="A3697" s="4" t="s">
        <v>8553</v>
      </c>
      <c r="B3697" s="5" t="s">
        <v>8553</v>
      </c>
      <c r="C3697" s="5" t="s">
        <v>89</v>
      </c>
      <c r="D3697" s="5" t="s">
        <v>90</v>
      </c>
      <c r="E3697" s="5" t="s">
        <v>76</v>
      </c>
      <c r="F3697" s="9">
        <v>7</v>
      </c>
      <c r="G3697" s="9">
        <v>73</v>
      </c>
      <c r="H3697" s="5" t="s">
        <v>20</v>
      </c>
      <c r="I3697" s="5" t="s">
        <v>8554</v>
      </c>
      <c r="J3697" s="12" t="str">
        <f>HYPERLINK("https://www.boe.es/gazeta/dias/1807/01/20/pdfs/GMD-1807-7.pdf#page=5","Abrir facsímil")</f>
        <v>Abrir facsímil</v>
      </c>
      <c r="K3697" s="15" t="s">
        <v>22</v>
      </c>
    </row>
    <row r="3698" spans="1:11" ht="42" customHeight="1">
      <c r="A3698" s="4" t="s">
        <v>8555</v>
      </c>
      <c r="B3698" s="5" t="s">
        <v>8556</v>
      </c>
      <c r="C3698" s="5" t="s">
        <v>34</v>
      </c>
      <c r="D3698" s="5" t="s">
        <v>35</v>
      </c>
      <c r="E3698" s="5" t="s">
        <v>224</v>
      </c>
      <c r="F3698" s="9">
        <v>91</v>
      </c>
      <c r="G3698" s="9">
        <v>1055</v>
      </c>
      <c r="H3698" s="5" t="s">
        <v>20</v>
      </c>
      <c r="I3698" s="5" t="s">
        <v>8557</v>
      </c>
      <c r="J3698" s="12" t="str">
        <f>HYPERLINK("https://www.boe.es/gazeta/dias/1807/10/09/pdfs/GMD-1807-91.pdf#page=7","Abrir facsímil")</f>
        <v>Abrir facsímil</v>
      </c>
      <c r="K3698" s="15" t="s">
        <v>22</v>
      </c>
    </row>
    <row r="3699" spans="1:11" ht="42" customHeight="1">
      <c r="A3699" s="4" t="s">
        <v>8558</v>
      </c>
      <c r="B3699" s="5" t="s">
        <v>8559</v>
      </c>
      <c r="C3699" s="5" t="s">
        <v>49</v>
      </c>
      <c r="D3699" s="5" t="s">
        <v>50</v>
      </c>
      <c r="E3699" s="5" t="s">
        <v>86</v>
      </c>
      <c r="F3699" s="9">
        <v>12</v>
      </c>
      <c r="G3699" s="9">
        <v>132</v>
      </c>
      <c r="H3699" s="5" t="s">
        <v>20</v>
      </c>
      <c r="I3699" s="5" t="s">
        <v>8560</v>
      </c>
      <c r="J3699" s="12" t="str">
        <f>HYPERLINK("https://www.boe.es/gazeta/dias/1807/02/03/pdfs/GMD-1807-12.pdf#page=4","Abrir facsímil")</f>
        <v>Abrir facsímil</v>
      </c>
      <c r="K3699" s="15" t="s">
        <v>22</v>
      </c>
    </row>
    <row r="3700" spans="1:11" ht="42" customHeight="1">
      <c r="A3700" s="4" t="s">
        <v>8561</v>
      </c>
      <c r="B3700" s="5" t="s">
        <v>8562</v>
      </c>
      <c r="C3700" s="5" t="s">
        <v>34</v>
      </c>
      <c r="D3700" s="5" t="s">
        <v>35</v>
      </c>
      <c r="E3700" s="5" t="s">
        <v>524</v>
      </c>
      <c r="F3700" s="9" t="s">
        <v>525</v>
      </c>
      <c r="G3700" s="9">
        <v>233</v>
      </c>
      <c r="H3700" s="5" t="s">
        <v>20</v>
      </c>
      <c r="I3700" s="5" t="s">
        <v>8563</v>
      </c>
      <c r="J3700" s="12" t="str">
        <f>HYPERLINK("https://www.boe.es/gazeta/dias/1807/03/01/pdfs/GMD-1807-20E.pdf#page=5","Abrir facsímil")</f>
        <v>Abrir facsímil</v>
      </c>
      <c r="K3700" s="15" t="s">
        <v>22</v>
      </c>
    </row>
    <row r="3701" spans="1:11" ht="42" customHeight="1">
      <c r="A3701" s="4" t="s">
        <v>8564</v>
      </c>
      <c r="B3701" s="5" t="s">
        <v>8564</v>
      </c>
      <c r="C3701" s="5" t="s">
        <v>89</v>
      </c>
      <c r="D3701" s="5" t="s">
        <v>90</v>
      </c>
      <c r="E3701" s="5" t="s">
        <v>1456</v>
      </c>
      <c r="F3701" s="9">
        <v>98</v>
      </c>
      <c r="G3701" s="9">
        <v>1141</v>
      </c>
      <c r="H3701" s="5" t="s">
        <v>20</v>
      </c>
      <c r="I3701" s="5" t="s">
        <v>8565</v>
      </c>
      <c r="J3701" s="12" t="str">
        <f>HYPERLINK("https://www.boe.es/gazeta/dias/1807/11/03/pdfs/GMD-1807-98.pdf#page=9","Abrir facsímil")</f>
        <v>Abrir facsímil</v>
      </c>
      <c r="K3701" s="15" t="s">
        <v>22</v>
      </c>
    </row>
    <row r="3702" spans="1:11" ht="42" customHeight="1">
      <c r="A3702" s="4" t="s">
        <v>8566</v>
      </c>
      <c r="B3702" s="5" t="s">
        <v>8567</v>
      </c>
      <c r="C3702" s="5" t="s">
        <v>89</v>
      </c>
      <c r="D3702" s="5" t="s">
        <v>90</v>
      </c>
      <c r="E3702" s="5" t="s">
        <v>686</v>
      </c>
      <c r="F3702" s="9">
        <v>106</v>
      </c>
      <c r="G3702" s="9">
        <v>1236</v>
      </c>
      <c r="H3702" s="5" t="s">
        <v>20</v>
      </c>
      <c r="I3702" s="5" t="s">
        <v>8568</v>
      </c>
      <c r="J3702" s="12" t="str">
        <f>HYPERLINK("https://www.boe.es/gazeta/dias/1807/11/27/pdfs/GMD-1807-106.pdf#page=8","Abrir facsímil")</f>
        <v>Abrir facsímil</v>
      </c>
      <c r="K3702" s="15" t="s">
        <v>22</v>
      </c>
    </row>
    <row r="3703" spans="1:11" ht="42" customHeight="1">
      <c r="A3703" s="4" t="s">
        <v>8569</v>
      </c>
      <c r="B3703" s="5" t="s">
        <v>8570</v>
      </c>
      <c r="C3703" s="5" t="s">
        <v>69</v>
      </c>
      <c r="D3703" s="5" t="s">
        <v>70</v>
      </c>
      <c r="E3703" s="5" t="s">
        <v>71</v>
      </c>
      <c r="F3703" s="9">
        <v>35</v>
      </c>
      <c r="G3703" s="9" t="s">
        <v>72</v>
      </c>
      <c r="H3703" s="5" t="s">
        <v>20</v>
      </c>
      <c r="I3703" s="5" t="s">
        <v>8571</v>
      </c>
      <c r="J3703" s="12" t="str">
        <f>HYPERLINK("https://www.boe.es/gazeta/dias/1807/04/21/pdfs/C00001-00004.pdf#page=1","Abrir facsímil")</f>
        <v>Abrir facsímil</v>
      </c>
      <c r="K3703" s="15" t="s">
        <v>22</v>
      </c>
    </row>
    <row r="3704" spans="1:11" ht="42" customHeight="1">
      <c r="A3704" s="4" t="s">
        <v>8572</v>
      </c>
      <c r="B3704" s="5" t="s">
        <v>8573</v>
      </c>
      <c r="C3704" s="5" t="s">
        <v>17</v>
      </c>
      <c r="D3704" s="5" t="s">
        <v>18</v>
      </c>
      <c r="E3704" s="5" t="s">
        <v>104</v>
      </c>
      <c r="F3704" s="9">
        <v>25</v>
      </c>
      <c r="G3704" s="9">
        <v>300</v>
      </c>
      <c r="H3704" s="5" t="s">
        <v>20</v>
      </c>
      <c r="I3704" s="5" t="s">
        <v>8574</v>
      </c>
      <c r="J3704" s="12" t="str">
        <f>HYPERLINK("https://www.boe.es/gazeta/dias/1807/03/17/pdfs/GMD-1807-25.pdf#page=8","Abrir facsímil")</f>
        <v>Abrir facsímil</v>
      </c>
      <c r="K3704" s="15" t="s">
        <v>22</v>
      </c>
    </row>
    <row r="3705" spans="1:11" ht="42" customHeight="1">
      <c r="A3705" s="4" t="s">
        <v>8575</v>
      </c>
      <c r="B3705" s="5" t="s">
        <v>8576</v>
      </c>
      <c r="C3705" s="5" t="s">
        <v>28</v>
      </c>
      <c r="D3705" s="5" t="s">
        <v>29</v>
      </c>
      <c r="E3705" s="5" t="s">
        <v>686</v>
      </c>
      <c r="F3705" s="9">
        <v>106</v>
      </c>
      <c r="G3705" s="9">
        <v>1237</v>
      </c>
      <c r="H3705" s="5" t="s">
        <v>20</v>
      </c>
      <c r="I3705" s="5" t="s">
        <v>8577</v>
      </c>
      <c r="J3705" s="12" t="str">
        <f>HYPERLINK("https://www.boe.es/gazeta/dias/1807/11/27/pdfs/GMD-1807-106.pdf#page=9","Abrir facsímil")</f>
        <v>Abrir facsímil</v>
      </c>
      <c r="K3705" s="15" t="s">
        <v>22</v>
      </c>
    </row>
    <row r="3706" spans="1:11" ht="42" customHeight="1">
      <c r="A3706" s="4" t="s">
        <v>8578</v>
      </c>
      <c r="B3706" s="5" t="s">
        <v>8579</v>
      </c>
      <c r="C3706" s="5" t="s">
        <v>89</v>
      </c>
      <c r="D3706" s="5" t="s">
        <v>90</v>
      </c>
      <c r="E3706" s="5" t="s">
        <v>71</v>
      </c>
      <c r="F3706" s="9">
        <v>35</v>
      </c>
      <c r="G3706" s="9">
        <v>420</v>
      </c>
      <c r="H3706" s="5" t="s">
        <v>20</v>
      </c>
      <c r="I3706" s="5" t="s">
        <v>8580</v>
      </c>
      <c r="J3706" s="12" t="str">
        <f>HYPERLINK("https://www.boe.es/gazeta/dias/1807/04/21/pdfs/GMD-1807-35.pdf#page=12","Abrir facsímil")</f>
        <v>Abrir facsímil</v>
      </c>
      <c r="K3706" s="15" t="s">
        <v>22</v>
      </c>
    </row>
    <row r="3707" spans="1:11" ht="42" customHeight="1">
      <c r="A3707" s="4" t="s">
        <v>8581</v>
      </c>
      <c r="B3707" s="5" t="s">
        <v>8582</v>
      </c>
      <c r="C3707" s="5" t="s">
        <v>24</v>
      </c>
      <c r="D3707" s="5" t="s">
        <v>18</v>
      </c>
      <c r="E3707" s="5" t="s">
        <v>793</v>
      </c>
      <c r="F3707" s="9">
        <v>87</v>
      </c>
      <c r="G3707" s="9">
        <v>1009</v>
      </c>
      <c r="H3707" s="5" t="s">
        <v>20</v>
      </c>
      <c r="I3707" s="5" t="s">
        <v>8583</v>
      </c>
      <c r="J3707" s="12" t="str">
        <f>HYPERLINK("https://www.boe.es/gazeta/dias/1807/09/29/pdfs/GMD-1807-87.pdf#page=9","Abrir facsímil")</f>
        <v>Abrir facsímil</v>
      </c>
      <c r="K3707" s="15" t="s">
        <v>22</v>
      </c>
    </row>
    <row r="3708" spans="1:11" ht="42" customHeight="1">
      <c r="A3708" s="4" t="s">
        <v>8584</v>
      </c>
      <c r="B3708" s="5" t="s">
        <v>8585</v>
      </c>
      <c r="C3708" s="5" t="s">
        <v>89</v>
      </c>
      <c r="D3708" s="5" t="s">
        <v>90</v>
      </c>
      <c r="E3708" s="5" t="s">
        <v>1340</v>
      </c>
      <c r="F3708" s="9">
        <v>114</v>
      </c>
      <c r="G3708" s="9">
        <v>1332</v>
      </c>
      <c r="H3708" s="5" t="s">
        <v>20</v>
      </c>
      <c r="I3708" s="5" t="s">
        <v>8586</v>
      </c>
      <c r="J3708" s="12" t="str">
        <f>HYPERLINK("https://www.boe.es/gazeta/dias/1807/12/25/pdfs/GMD-1807-114.pdf#page=8","Abrir facsímil")</f>
        <v>Abrir facsímil</v>
      </c>
      <c r="K3708" s="15" t="s">
        <v>22</v>
      </c>
    </row>
    <row r="3709" spans="1:11" ht="42" customHeight="1">
      <c r="A3709" s="4" t="s">
        <v>8587</v>
      </c>
      <c r="B3709" s="5" t="s">
        <v>8588</v>
      </c>
      <c r="C3709" s="5" t="s">
        <v>24</v>
      </c>
      <c r="D3709" s="5" t="s">
        <v>18</v>
      </c>
      <c r="E3709" s="5" t="s">
        <v>1354</v>
      </c>
      <c r="F3709" s="9">
        <v>83</v>
      </c>
      <c r="G3709" s="9">
        <v>970</v>
      </c>
      <c r="H3709" s="5" t="s">
        <v>20</v>
      </c>
      <c r="I3709" s="5" t="s">
        <v>8589</v>
      </c>
      <c r="J3709" s="12" t="str">
        <f>HYPERLINK("https://www.boe.es/gazeta/dias/1807/09/18/pdfs/GMD-1807-83.pdf#page=10","Abrir facsímil")</f>
        <v>Abrir facsímil</v>
      </c>
      <c r="K3709" s="15" t="s">
        <v>22</v>
      </c>
    </row>
    <row r="3710" spans="1:11" ht="42" customHeight="1">
      <c r="A3710" s="4" t="s">
        <v>8590</v>
      </c>
      <c r="B3710" s="5" t="s">
        <v>8591</v>
      </c>
      <c r="C3710" s="5" t="s">
        <v>34</v>
      </c>
      <c r="D3710" s="5" t="s">
        <v>35</v>
      </c>
      <c r="E3710" s="5" t="s">
        <v>666</v>
      </c>
      <c r="F3710" s="9">
        <v>43</v>
      </c>
      <c r="G3710" s="9">
        <v>515</v>
      </c>
      <c r="H3710" s="5" t="s">
        <v>20</v>
      </c>
      <c r="I3710" s="5" t="s">
        <v>8592</v>
      </c>
      <c r="J3710" s="12" t="str">
        <f>HYPERLINK("https://www.boe.es/gazeta/dias/1807/05/19/pdfs/GMD-1807-43.pdf#page=9","Abrir facsímil")</f>
        <v>Abrir facsímil</v>
      </c>
      <c r="K3710" s="15" t="s">
        <v>22</v>
      </c>
    </row>
    <row r="3711" spans="1:11" ht="42" customHeight="1">
      <c r="A3711" s="4" t="s">
        <v>8593</v>
      </c>
      <c r="B3711" s="5" t="s">
        <v>8594</v>
      </c>
      <c r="C3711" s="5" t="s">
        <v>17</v>
      </c>
      <c r="D3711" s="5" t="s">
        <v>18</v>
      </c>
      <c r="E3711" s="5" t="s">
        <v>266</v>
      </c>
      <c r="F3711" s="9">
        <v>67</v>
      </c>
      <c r="G3711" s="9">
        <v>773</v>
      </c>
      <c r="H3711" s="5" t="s">
        <v>20</v>
      </c>
      <c r="I3711" s="5" t="s">
        <v>8595</v>
      </c>
      <c r="J3711" s="12" t="str">
        <f>HYPERLINK("https://www.boe.es/gazeta/dias/1807/07/28/pdfs/GMD-1807-67.pdf#page=9","Abrir facsímil")</f>
        <v>Abrir facsímil</v>
      </c>
      <c r="K3711" s="15" t="s">
        <v>22</v>
      </c>
    </row>
    <row r="3712" spans="1:11" ht="42" customHeight="1">
      <c r="A3712" s="4" t="s">
        <v>8593</v>
      </c>
      <c r="B3712" s="5" t="s">
        <v>8594</v>
      </c>
      <c r="C3712" s="5" t="s">
        <v>34</v>
      </c>
      <c r="D3712" s="5" t="s">
        <v>35</v>
      </c>
      <c r="E3712" s="5" t="s">
        <v>275</v>
      </c>
      <c r="F3712" s="9">
        <v>104</v>
      </c>
      <c r="G3712" s="9">
        <v>1213</v>
      </c>
      <c r="H3712" s="5" t="s">
        <v>20</v>
      </c>
      <c r="I3712" s="5" t="s">
        <v>8596</v>
      </c>
      <c r="J3712" s="12" t="str">
        <f>HYPERLINK("https://www.boe.es/gazeta/dias/1807/11/24/pdfs/GMD-1807-104.pdf#page=9","Abrir facsímil")</f>
        <v>Abrir facsímil</v>
      </c>
      <c r="K3712" s="15" t="s">
        <v>22</v>
      </c>
    </row>
    <row r="3713" spans="1:11" ht="42" customHeight="1">
      <c r="A3713" s="4" t="s">
        <v>8597</v>
      </c>
      <c r="B3713" s="5" t="s">
        <v>8598</v>
      </c>
      <c r="C3713" s="5" t="s">
        <v>34</v>
      </c>
      <c r="D3713" s="5" t="s">
        <v>35</v>
      </c>
      <c r="E3713" s="5" t="s">
        <v>53</v>
      </c>
      <c r="F3713" s="9">
        <v>64</v>
      </c>
      <c r="G3713" s="9">
        <v>747</v>
      </c>
      <c r="H3713" s="5" t="s">
        <v>20</v>
      </c>
      <c r="I3713" s="5" t="s">
        <v>8599</v>
      </c>
      <c r="J3713" s="12" t="str">
        <f>HYPERLINK("https://www.boe.es/gazeta/dias/1807/07/21/pdfs/GMD-1807-64.pdf#page=9","Abrir facsímil")</f>
        <v>Abrir facsímil</v>
      </c>
      <c r="K3713" s="15" t="s">
        <v>22</v>
      </c>
    </row>
    <row r="3714" spans="1:11" ht="42" customHeight="1">
      <c r="A3714" s="4" t="s">
        <v>8600</v>
      </c>
      <c r="B3714" s="5" t="s">
        <v>8601</v>
      </c>
      <c r="C3714" s="5" t="s">
        <v>28</v>
      </c>
      <c r="D3714" s="5" t="s">
        <v>29</v>
      </c>
      <c r="E3714" s="5" t="s">
        <v>426</v>
      </c>
      <c r="F3714" s="9">
        <v>93</v>
      </c>
      <c r="G3714" s="9">
        <v>1083</v>
      </c>
      <c r="H3714" s="5" t="s">
        <v>20</v>
      </c>
      <c r="I3714" s="5" t="s">
        <v>8602</v>
      </c>
      <c r="J3714" s="12" t="str">
        <f>HYPERLINK("https://www.boe.es/gazeta/dias/1807/10/16/pdfs/GMD-1807-93.pdf#page=11","Abrir facsímil")</f>
        <v>Abrir facsímil</v>
      </c>
      <c r="K3714" s="15" t="s">
        <v>22</v>
      </c>
    </row>
    <row r="3715" spans="1:11" ht="42" customHeight="1">
      <c r="A3715" s="4" t="s">
        <v>8603</v>
      </c>
      <c r="B3715" s="5" t="s">
        <v>8604</v>
      </c>
      <c r="C3715" s="5" t="s">
        <v>69</v>
      </c>
      <c r="D3715" s="5" t="s">
        <v>70</v>
      </c>
      <c r="E3715" s="5" t="s">
        <v>71</v>
      </c>
      <c r="F3715" s="9">
        <v>35</v>
      </c>
      <c r="G3715" s="9" t="s">
        <v>197</v>
      </c>
      <c r="H3715" s="5" t="s">
        <v>20</v>
      </c>
      <c r="I3715" s="5" t="s">
        <v>8605</v>
      </c>
      <c r="J3715" s="12" t="str">
        <f>HYPERLINK("https://www.boe.es/gazeta/dias/1807/04/21/pdfs/C00001-00004.pdf#page=3","Abrir facsímil")</f>
        <v>Abrir facsímil</v>
      </c>
      <c r="K3715" s="15" t="s">
        <v>22</v>
      </c>
    </row>
    <row r="3716" spans="1:11" ht="42" customHeight="1">
      <c r="A3716" s="4" t="s">
        <v>8606</v>
      </c>
      <c r="B3716" s="5" t="s">
        <v>8607</v>
      </c>
      <c r="C3716" s="5" t="s">
        <v>17</v>
      </c>
      <c r="D3716" s="5" t="s">
        <v>18</v>
      </c>
      <c r="E3716" s="5" t="s">
        <v>98</v>
      </c>
      <c r="F3716" s="9">
        <v>34</v>
      </c>
      <c r="G3716" s="9">
        <v>404</v>
      </c>
      <c r="H3716" s="5" t="s">
        <v>20</v>
      </c>
      <c r="I3716" s="5" t="s">
        <v>8608</v>
      </c>
      <c r="J3716" s="12" t="str">
        <f>HYPERLINK("https://www.boe.es/gazeta/dias/1807/04/17/pdfs/GMD-1807-34.pdf#page=8","Abrir facsímil")</f>
        <v>Abrir facsímil</v>
      </c>
      <c r="K3716" s="15" t="s">
        <v>22</v>
      </c>
    </row>
    <row r="3717" spans="1:11" ht="42" customHeight="1">
      <c r="A3717" s="4" t="s">
        <v>8609</v>
      </c>
      <c r="B3717" s="5" t="s">
        <v>8610</v>
      </c>
      <c r="C3717" s="5" t="s">
        <v>89</v>
      </c>
      <c r="D3717" s="5" t="s">
        <v>90</v>
      </c>
      <c r="E3717" s="5" t="s">
        <v>572</v>
      </c>
      <c r="F3717" s="9">
        <v>14</v>
      </c>
      <c r="G3717" s="9">
        <v>164</v>
      </c>
      <c r="H3717" s="5" t="s">
        <v>20</v>
      </c>
      <c r="I3717" s="5" t="s">
        <v>8611</v>
      </c>
      <c r="J3717" s="12" t="str">
        <f>HYPERLINK("https://www.boe.es/gazeta/dias/1807/02/10/pdfs/GMD-1807-14.pdf#page=12","Abrir facsímil")</f>
        <v>Abrir facsímil</v>
      </c>
      <c r="K3717" s="15" t="s">
        <v>22</v>
      </c>
    </row>
    <row r="3718" spans="1:11" ht="42" customHeight="1">
      <c r="A3718" s="4" t="s">
        <v>8612</v>
      </c>
      <c r="B3718" s="5" t="s">
        <v>8613</v>
      </c>
      <c r="C3718" s="5" t="s">
        <v>34</v>
      </c>
      <c r="D3718" s="5" t="s">
        <v>35</v>
      </c>
      <c r="E3718" s="5" t="s">
        <v>46</v>
      </c>
      <c r="F3718" s="9">
        <v>78</v>
      </c>
      <c r="G3718" s="9">
        <v>905</v>
      </c>
      <c r="H3718" s="5" t="s">
        <v>20</v>
      </c>
      <c r="I3718" s="5" t="s">
        <v>8614</v>
      </c>
      <c r="J3718" s="12" t="str">
        <f>HYPERLINK("https://www.boe.es/gazeta/dias/1807/09/01/pdfs/GMD-1807-78.pdf#page=9","Abrir facsímil")</f>
        <v>Abrir facsímil</v>
      </c>
      <c r="K3718" s="15" t="s">
        <v>22</v>
      </c>
    </row>
    <row r="3719" spans="1:11" ht="42" customHeight="1">
      <c r="A3719" s="4" t="s">
        <v>8615</v>
      </c>
      <c r="B3719" s="5" t="s">
        <v>8616</v>
      </c>
      <c r="C3719" s="5" t="s">
        <v>24</v>
      </c>
      <c r="D3719" s="5" t="s">
        <v>18</v>
      </c>
      <c r="E3719" s="5" t="s">
        <v>567</v>
      </c>
      <c r="F3719" s="9">
        <v>55</v>
      </c>
      <c r="G3719" s="9">
        <v>662</v>
      </c>
      <c r="H3719" s="5" t="s">
        <v>20</v>
      </c>
      <c r="I3719" s="5" t="s">
        <v>8617</v>
      </c>
      <c r="J3719" s="12" t="str">
        <f>HYPERLINK("https://www.boe.es/gazeta/dias/1807/06/30/pdfs/GMD-1807-55.pdf#page=12","Abrir facsímil")</f>
        <v>Abrir facsímil</v>
      </c>
      <c r="K3719" s="15" t="s">
        <v>22</v>
      </c>
    </row>
    <row r="3720" spans="1:11" ht="42" customHeight="1">
      <c r="A3720" s="4" t="s">
        <v>8618</v>
      </c>
      <c r="B3720" s="5" t="s">
        <v>8619</v>
      </c>
      <c r="C3720" s="5" t="s">
        <v>89</v>
      </c>
      <c r="D3720" s="5" t="s">
        <v>90</v>
      </c>
      <c r="E3720" s="5" t="s">
        <v>447</v>
      </c>
      <c r="F3720" s="9">
        <v>65</v>
      </c>
      <c r="G3720" s="9">
        <v>762</v>
      </c>
      <c r="H3720" s="5" t="s">
        <v>20</v>
      </c>
      <c r="I3720" s="5" t="s">
        <v>8620</v>
      </c>
      <c r="J3720" s="12" t="str">
        <f>HYPERLINK("https://www.boe.es/gazeta/dias/1807/07/24/pdfs/GMD-1807-65.pdf#page=12","Abrir facsímil")</f>
        <v>Abrir facsímil</v>
      </c>
      <c r="K3720" s="15" t="s">
        <v>22</v>
      </c>
    </row>
    <row r="3721" spans="1:11" ht="42" customHeight="1">
      <c r="A3721" s="4" t="s">
        <v>8621</v>
      </c>
      <c r="B3721" s="5" t="s">
        <v>8622</v>
      </c>
      <c r="C3721" s="5" t="s">
        <v>49</v>
      </c>
      <c r="D3721" s="5" t="s">
        <v>50</v>
      </c>
      <c r="E3721" s="5" t="s">
        <v>572</v>
      </c>
      <c r="F3721" s="9">
        <v>14</v>
      </c>
      <c r="G3721" s="9">
        <v>159</v>
      </c>
      <c r="H3721" s="5" t="s">
        <v>20</v>
      </c>
      <c r="I3721" s="5" t="s">
        <v>8623</v>
      </c>
      <c r="J3721" s="12" t="str">
        <f>HYPERLINK("https://www.boe.es/gazeta/dias/1807/02/10/pdfs/GMD-1807-14.pdf#page=7","Abrir facsímil")</f>
        <v>Abrir facsímil</v>
      </c>
      <c r="K3721" s="15" t="s">
        <v>22</v>
      </c>
    </row>
    <row r="3722" spans="1:11" ht="42" customHeight="1">
      <c r="A3722" s="4" t="s">
        <v>8621</v>
      </c>
      <c r="B3722" s="5" t="s">
        <v>8622</v>
      </c>
      <c r="C3722" s="5" t="s">
        <v>28</v>
      </c>
      <c r="D3722" s="5" t="s">
        <v>29</v>
      </c>
      <c r="E3722" s="5" t="s">
        <v>393</v>
      </c>
      <c r="F3722" s="9">
        <v>15</v>
      </c>
      <c r="G3722" s="9">
        <v>176</v>
      </c>
      <c r="H3722" s="5" t="s">
        <v>20</v>
      </c>
      <c r="I3722" s="5" t="s">
        <v>8624</v>
      </c>
      <c r="J3722" s="12" t="str">
        <f>HYPERLINK("https://www.boe.es/gazeta/dias/1807/02/13/pdfs/GMD-1807-15.pdf#page=12","Abrir facsímil")</f>
        <v>Abrir facsímil</v>
      </c>
      <c r="K3722" s="15" t="s">
        <v>22</v>
      </c>
    </row>
    <row r="3723" spans="1:11" ht="42" customHeight="1">
      <c r="A3723" s="4" t="s">
        <v>8621</v>
      </c>
      <c r="B3723" s="5" t="s">
        <v>8622</v>
      </c>
      <c r="C3723" s="5" t="s">
        <v>89</v>
      </c>
      <c r="D3723" s="5" t="s">
        <v>90</v>
      </c>
      <c r="E3723" s="5" t="s">
        <v>321</v>
      </c>
      <c r="F3723" s="9">
        <v>75</v>
      </c>
      <c r="G3723" s="9">
        <v>870</v>
      </c>
      <c r="H3723" s="5" t="s">
        <v>20</v>
      </c>
      <c r="I3723" s="5" t="s">
        <v>8625</v>
      </c>
      <c r="J3723" s="12" t="str">
        <f>HYPERLINK("https://www.boe.es/gazeta/dias/1807/08/21/pdfs/GMD-1807-75.pdf#page=10","Abrir facsímil")</f>
        <v>Abrir facsímil</v>
      </c>
      <c r="K3723" s="15" t="s">
        <v>22</v>
      </c>
    </row>
    <row r="3724" spans="1:11" ht="42" customHeight="1">
      <c r="A3724" s="4" t="s">
        <v>8621</v>
      </c>
      <c r="B3724" s="5" t="s">
        <v>8622</v>
      </c>
      <c r="C3724" s="5" t="s">
        <v>28</v>
      </c>
      <c r="D3724" s="5" t="s">
        <v>29</v>
      </c>
      <c r="E3724" s="5" t="s">
        <v>167</v>
      </c>
      <c r="F3724" s="9">
        <v>77</v>
      </c>
      <c r="G3724" s="9">
        <v>892</v>
      </c>
      <c r="H3724" s="5" t="s">
        <v>20</v>
      </c>
      <c r="I3724" s="5" t="s">
        <v>8626</v>
      </c>
      <c r="J3724" s="12" t="str">
        <f>HYPERLINK("https://www.boe.es/gazeta/dias/1807/08/28/pdfs/GMD-1807-77.pdf#page=8","Abrir facsímil")</f>
        <v>Abrir facsímil</v>
      </c>
      <c r="K3724" s="15" t="s">
        <v>22</v>
      </c>
    </row>
    <row r="3725" spans="1:11" ht="42" customHeight="1">
      <c r="A3725" s="4" t="s">
        <v>8627</v>
      </c>
      <c r="B3725" s="5" t="s">
        <v>8628</v>
      </c>
      <c r="C3725" s="5" t="s">
        <v>89</v>
      </c>
      <c r="D3725" s="5" t="s">
        <v>90</v>
      </c>
      <c r="E3725" s="5" t="s">
        <v>120</v>
      </c>
      <c r="F3725" s="9">
        <v>10</v>
      </c>
      <c r="G3725" s="9">
        <v>116</v>
      </c>
      <c r="H3725" s="5" t="s">
        <v>20</v>
      </c>
      <c r="I3725" s="5" t="s">
        <v>8629</v>
      </c>
      <c r="J3725" s="12" t="str">
        <f>HYPERLINK("https://www.boe.es/gazeta/dias/1807/01/27/pdfs/GMD-1807-10.pdf#page=12","Abrir facsímil")</f>
        <v>Abrir facsímil</v>
      </c>
      <c r="K3725" s="15" t="s">
        <v>22</v>
      </c>
    </row>
    <row r="3726" spans="1:11" ht="42" customHeight="1">
      <c r="A3726" s="4" t="s">
        <v>8630</v>
      </c>
      <c r="B3726" s="5" t="s">
        <v>8630</v>
      </c>
      <c r="C3726" s="5" t="s">
        <v>28</v>
      </c>
      <c r="D3726" s="5" t="s">
        <v>29</v>
      </c>
      <c r="E3726" s="5" t="s">
        <v>65</v>
      </c>
      <c r="F3726" s="9">
        <v>52</v>
      </c>
      <c r="G3726" s="9">
        <v>624</v>
      </c>
      <c r="H3726" s="5" t="s">
        <v>20</v>
      </c>
      <c r="I3726" s="5" t="s">
        <v>8631</v>
      </c>
      <c r="J3726" s="12" t="str">
        <f>HYPERLINK("https://www.boe.es/gazeta/dias/1807/06/19/pdfs/GMD-1807-52.pdf#page=14","Abrir facsímil")</f>
        <v>Abrir facsímil</v>
      </c>
      <c r="K3726" s="15" t="s">
        <v>22</v>
      </c>
    </row>
    <row r="3727" spans="1:11" ht="42" customHeight="1">
      <c r="A3727" s="4" t="s">
        <v>8632</v>
      </c>
      <c r="B3727" s="5" t="s">
        <v>8633</v>
      </c>
      <c r="C3727" s="5" t="s">
        <v>49</v>
      </c>
      <c r="D3727" s="5" t="s">
        <v>50</v>
      </c>
      <c r="E3727" s="5" t="s">
        <v>30</v>
      </c>
      <c r="F3727" s="9">
        <v>13</v>
      </c>
      <c r="G3727" s="9">
        <v>144</v>
      </c>
      <c r="H3727" s="5" t="s">
        <v>20</v>
      </c>
      <c r="I3727" s="5" t="s">
        <v>8634</v>
      </c>
      <c r="J3727" s="12" t="str">
        <f>HYPERLINK("https://www.boe.es/gazeta/dias/1807/02/06/pdfs/GMD-1807-13.pdf#page=4","Abrir facsímil")</f>
        <v>Abrir facsímil</v>
      </c>
      <c r="K3727" s="15" t="s">
        <v>22</v>
      </c>
    </row>
    <row r="3728" spans="1:11" ht="42" customHeight="1">
      <c r="A3728" s="4" t="s">
        <v>8635</v>
      </c>
      <c r="B3728" s="5" t="s">
        <v>8636</v>
      </c>
      <c r="C3728" s="5" t="s">
        <v>49</v>
      </c>
      <c r="D3728" s="5" t="s">
        <v>50</v>
      </c>
      <c r="E3728" s="5" t="s">
        <v>441</v>
      </c>
      <c r="F3728" s="9">
        <v>92</v>
      </c>
      <c r="G3728" s="9">
        <v>1063</v>
      </c>
      <c r="H3728" s="5" t="s">
        <v>20</v>
      </c>
      <c r="I3728" s="5" t="s">
        <v>8637</v>
      </c>
      <c r="J3728" s="12" t="str">
        <f>HYPERLINK("https://www.boe.es/gazeta/dias/1807/10/13/pdfs/GMD-1807-92.pdf#page=3","Abrir facsímil")</f>
        <v>Abrir facsímil</v>
      </c>
      <c r="K3728" s="15" t="s">
        <v>22</v>
      </c>
    </row>
    <row r="3729" spans="1:11" ht="42" customHeight="1">
      <c r="A3729" s="4" t="s">
        <v>8638</v>
      </c>
      <c r="B3729" s="5" t="s">
        <v>8639</v>
      </c>
      <c r="C3729" s="5" t="s">
        <v>89</v>
      </c>
      <c r="D3729" s="5" t="s">
        <v>90</v>
      </c>
      <c r="E3729" s="5" t="s">
        <v>98</v>
      </c>
      <c r="F3729" s="9">
        <v>34</v>
      </c>
      <c r="G3729" s="9">
        <v>404</v>
      </c>
      <c r="H3729" s="5" t="s">
        <v>20</v>
      </c>
      <c r="I3729" s="5" t="s">
        <v>8640</v>
      </c>
      <c r="J3729" s="12" t="str">
        <f>HYPERLINK("https://www.boe.es/gazeta/dias/1807/04/17/pdfs/GMD-1807-34.pdf#page=8","Abrir facsímil")</f>
        <v>Abrir facsímil</v>
      </c>
      <c r="K3729" s="15" t="s">
        <v>22</v>
      </c>
    </row>
    <row r="3730" spans="1:11" ht="42" customHeight="1">
      <c r="A3730" s="4" t="s">
        <v>8641</v>
      </c>
      <c r="B3730" s="5" t="s">
        <v>8642</v>
      </c>
      <c r="C3730" s="5" t="s">
        <v>34</v>
      </c>
      <c r="D3730" s="5" t="s">
        <v>35</v>
      </c>
      <c r="E3730" s="5" t="s">
        <v>40</v>
      </c>
      <c r="F3730" s="9">
        <v>26</v>
      </c>
      <c r="G3730" s="9">
        <v>313</v>
      </c>
      <c r="H3730" s="5" t="s">
        <v>20</v>
      </c>
      <c r="I3730" s="5" t="s">
        <v>8643</v>
      </c>
      <c r="J3730" s="12" t="str">
        <f>HYPERLINK("https://www.boe.es/gazeta/dias/1807/03/20/pdfs/GMD-1807-26.pdf#page=9","Abrir facsímil")</f>
        <v>Abrir facsímil</v>
      </c>
      <c r="K3730" s="15" t="s">
        <v>22</v>
      </c>
    </row>
    <row r="3731" spans="1:11" ht="42" customHeight="1">
      <c r="A3731" s="4" t="s">
        <v>8644</v>
      </c>
      <c r="B3731" s="5" t="s">
        <v>8645</v>
      </c>
      <c r="C3731" s="5" t="s">
        <v>252</v>
      </c>
      <c r="D3731" s="5" t="s">
        <v>253</v>
      </c>
      <c r="E3731" s="5" t="s">
        <v>534</v>
      </c>
      <c r="F3731" s="9" t="s">
        <v>535</v>
      </c>
      <c r="G3731" s="9">
        <v>100</v>
      </c>
      <c r="H3731" s="5" t="s">
        <v>20</v>
      </c>
      <c r="I3731" s="5" t="s">
        <v>8646</v>
      </c>
      <c r="J3731" s="12" t="str">
        <f>HYPERLINK("https://www.boe.es/gazeta/dias/1807/01/24/pdfs/GMD-1807-9E.pdf#page=4","Abrir facsímil")</f>
        <v>Abrir facsímil</v>
      </c>
      <c r="K3731" s="15" t="s">
        <v>22</v>
      </c>
    </row>
    <row r="3732" spans="1:11" ht="42" customHeight="1">
      <c r="A3732" s="4" t="s">
        <v>8647</v>
      </c>
      <c r="B3732" s="5" t="s">
        <v>8648</v>
      </c>
      <c r="C3732" s="5" t="s">
        <v>49</v>
      </c>
      <c r="D3732" s="5" t="s">
        <v>50</v>
      </c>
      <c r="E3732" s="5" t="s">
        <v>109</v>
      </c>
      <c r="F3732" s="9">
        <v>58</v>
      </c>
      <c r="G3732" s="9">
        <v>687</v>
      </c>
      <c r="H3732" s="5" t="s">
        <v>20</v>
      </c>
      <c r="I3732" s="5" t="s">
        <v>8649</v>
      </c>
      <c r="J3732" s="12" t="str">
        <f>HYPERLINK("https://www.boe.es/gazeta/dias/1807/07/07/pdfs/GMD-1807-58.pdf#page=5","Abrir facsímil")</f>
        <v>Abrir facsímil</v>
      </c>
      <c r="K3732" s="15" t="s">
        <v>22</v>
      </c>
    </row>
    <row r="3733" spans="1:11" ht="42" customHeight="1">
      <c r="A3733" s="4" t="s">
        <v>8650</v>
      </c>
      <c r="B3733" s="5" t="s">
        <v>8651</v>
      </c>
      <c r="C3733" s="5" t="s">
        <v>49</v>
      </c>
      <c r="D3733" s="5" t="s">
        <v>50</v>
      </c>
      <c r="E3733" s="5" t="s">
        <v>305</v>
      </c>
      <c r="F3733" s="9">
        <v>53</v>
      </c>
      <c r="G3733" s="9">
        <v>632</v>
      </c>
      <c r="H3733" s="5" t="s">
        <v>20</v>
      </c>
      <c r="I3733" s="5" t="s">
        <v>8652</v>
      </c>
      <c r="J3733" s="12" t="str">
        <f>HYPERLINK("https://www.boe.es/gazeta/dias/1807/06/23/pdfs/GMD-1807-53.pdf#page=6","Abrir facsímil")</f>
        <v>Abrir facsímil</v>
      </c>
      <c r="K3733" s="15" t="s">
        <v>22</v>
      </c>
    </row>
    <row r="3734" spans="1:11" ht="42" customHeight="1">
      <c r="A3734" s="4" t="s">
        <v>8653</v>
      </c>
      <c r="B3734" s="5" t="s">
        <v>8654</v>
      </c>
      <c r="C3734" s="5" t="s">
        <v>34</v>
      </c>
      <c r="D3734" s="5" t="s">
        <v>35</v>
      </c>
      <c r="E3734" s="5" t="s">
        <v>376</v>
      </c>
      <c r="F3734" s="9">
        <v>19</v>
      </c>
      <c r="G3734" s="9">
        <v>223</v>
      </c>
      <c r="H3734" s="5" t="s">
        <v>20</v>
      </c>
      <c r="I3734" s="5" t="s">
        <v>8655</v>
      </c>
      <c r="J3734" s="12" t="str">
        <f>HYPERLINK("https://www.boe.es/gazeta/dias/1807/02/27/pdfs/GMD-1807-19.pdf#page=7","Abrir facsímil")</f>
        <v>Abrir facsímil</v>
      </c>
      <c r="K3734" s="15" t="s">
        <v>22</v>
      </c>
    </row>
    <row r="3735" spans="1:11" ht="42" customHeight="1">
      <c r="A3735" s="4" t="s">
        <v>8653</v>
      </c>
      <c r="B3735" s="5" t="s">
        <v>8654</v>
      </c>
      <c r="C3735" s="5" t="s">
        <v>49</v>
      </c>
      <c r="D3735" s="5" t="s">
        <v>50</v>
      </c>
      <c r="E3735" s="5" t="s">
        <v>376</v>
      </c>
      <c r="F3735" s="9">
        <v>19</v>
      </c>
      <c r="G3735" s="9">
        <v>224</v>
      </c>
      <c r="H3735" s="5" t="s">
        <v>20</v>
      </c>
      <c r="I3735" s="5" t="s">
        <v>8656</v>
      </c>
      <c r="J3735" s="12" t="str">
        <f>HYPERLINK("https://www.boe.es/gazeta/dias/1807/02/27/pdfs/GMD-1807-19.pdf#page=8","Abrir facsímil")</f>
        <v>Abrir facsímil</v>
      </c>
      <c r="K3735" s="15" t="s">
        <v>22</v>
      </c>
    </row>
    <row r="3736" spans="1:11" ht="42" customHeight="1">
      <c r="A3736" s="4" t="s">
        <v>8653</v>
      </c>
      <c r="B3736" s="5" t="s">
        <v>8654</v>
      </c>
      <c r="C3736" s="5" t="s">
        <v>34</v>
      </c>
      <c r="D3736" s="5" t="s">
        <v>35</v>
      </c>
      <c r="E3736" s="5" t="s">
        <v>376</v>
      </c>
      <c r="F3736" s="9">
        <v>19</v>
      </c>
      <c r="G3736" s="9">
        <v>225</v>
      </c>
      <c r="H3736" s="5" t="s">
        <v>20</v>
      </c>
      <c r="I3736" s="5" t="s">
        <v>8657</v>
      </c>
      <c r="J3736" s="12" t="str">
        <f>HYPERLINK("https://www.boe.es/gazeta/dias/1807/02/27/pdfs/GMD-1807-19.pdf#page=9","Abrir facsímil")</f>
        <v>Abrir facsímil</v>
      </c>
      <c r="K3736" s="15" t="s">
        <v>22</v>
      </c>
    </row>
    <row r="3737" spans="1:11" ht="42" customHeight="1">
      <c r="A3737" s="4" t="s">
        <v>8653</v>
      </c>
      <c r="B3737" s="5" t="s">
        <v>8654</v>
      </c>
      <c r="C3737" s="5" t="s">
        <v>28</v>
      </c>
      <c r="D3737" s="5" t="s">
        <v>29</v>
      </c>
      <c r="E3737" s="5" t="s">
        <v>152</v>
      </c>
      <c r="F3737" s="9">
        <v>61</v>
      </c>
      <c r="G3737" s="9">
        <v>719</v>
      </c>
      <c r="H3737" s="5" t="s">
        <v>20</v>
      </c>
      <c r="I3737" s="5" t="s">
        <v>8658</v>
      </c>
      <c r="J3737" s="12" t="str">
        <f>HYPERLINK("https://www.boe.es/gazeta/dias/1807/07/14/pdfs/GMD-1807-61.pdf#page=5","Abrir facsímil")</f>
        <v>Abrir facsímil</v>
      </c>
      <c r="K3737" s="15" t="s">
        <v>22</v>
      </c>
    </row>
    <row r="3738" spans="1:11" ht="42" customHeight="1">
      <c r="A3738" s="4" t="s">
        <v>8653</v>
      </c>
      <c r="B3738" s="5" t="s">
        <v>8654</v>
      </c>
      <c r="C3738" s="5" t="s">
        <v>49</v>
      </c>
      <c r="D3738" s="5" t="s">
        <v>50</v>
      </c>
      <c r="E3738" s="5" t="s">
        <v>53</v>
      </c>
      <c r="F3738" s="9">
        <v>64</v>
      </c>
      <c r="G3738" s="9">
        <v>745</v>
      </c>
      <c r="H3738" s="5" t="s">
        <v>20</v>
      </c>
      <c r="I3738" s="5" t="s">
        <v>8659</v>
      </c>
      <c r="J3738" s="12" t="str">
        <f>HYPERLINK("https://www.boe.es/gazeta/dias/1807/07/21/pdfs/GMD-1807-64.pdf#page=7","Abrir facsímil")</f>
        <v>Abrir facsímil</v>
      </c>
      <c r="K3738" s="15" t="s">
        <v>22</v>
      </c>
    </row>
    <row r="3739" spans="1:11" ht="42" customHeight="1">
      <c r="A3739" s="4" t="s">
        <v>8653</v>
      </c>
      <c r="B3739" s="5" t="s">
        <v>8654</v>
      </c>
      <c r="C3739" s="5" t="s">
        <v>24</v>
      </c>
      <c r="D3739" s="5" t="s">
        <v>18</v>
      </c>
      <c r="E3739" s="5" t="s">
        <v>266</v>
      </c>
      <c r="F3739" s="9">
        <v>67</v>
      </c>
      <c r="G3739" s="9">
        <v>770</v>
      </c>
      <c r="H3739" s="5" t="s">
        <v>20</v>
      </c>
      <c r="I3739" s="5" t="s">
        <v>8660</v>
      </c>
      <c r="J3739" s="12" t="str">
        <f>HYPERLINK("https://www.boe.es/gazeta/dias/1807/07/28/pdfs/GMD-1807-67.pdf#page=6","Abrir facsímil")</f>
        <v>Abrir facsímil</v>
      </c>
      <c r="K3739" s="15" t="s">
        <v>22</v>
      </c>
    </row>
    <row r="3740" spans="1:11" ht="42" customHeight="1">
      <c r="A3740" s="4" t="s">
        <v>8653</v>
      </c>
      <c r="B3740" s="5" t="s">
        <v>8654</v>
      </c>
      <c r="C3740" s="5" t="s">
        <v>252</v>
      </c>
      <c r="D3740" s="5" t="s">
        <v>253</v>
      </c>
      <c r="E3740" s="5" t="s">
        <v>254</v>
      </c>
      <c r="F3740" s="9" t="s">
        <v>255</v>
      </c>
      <c r="G3740" s="9">
        <v>791</v>
      </c>
      <c r="H3740" s="5" t="s">
        <v>20</v>
      </c>
      <c r="I3740" s="5" t="s">
        <v>8661</v>
      </c>
      <c r="J3740" s="12" t="str">
        <f>HYPERLINK("https://www.boe.es/gazeta/dias/1807/08/02/pdfs/GMD-1807-69E.pdf#page=3","Abrir facsímil")</f>
        <v>Abrir facsímil</v>
      </c>
      <c r="K3740" s="15" t="s">
        <v>22</v>
      </c>
    </row>
    <row r="3741" spans="1:11" ht="42" customHeight="1">
      <c r="A3741" s="4" t="s">
        <v>8653</v>
      </c>
      <c r="B3741" s="5" t="s">
        <v>8654</v>
      </c>
      <c r="C3741" s="5" t="s">
        <v>252</v>
      </c>
      <c r="D3741" s="5" t="s">
        <v>253</v>
      </c>
      <c r="E3741" s="5" t="s">
        <v>254</v>
      </c>
      <c r="F3741" s="9" t="s">
        <v>255</v>
      </c>
      <c r="G3741" s="9">
        <v>794</v>
      </c>
      <c r="H3741" s="5" t="s">
        <v>20</v>
      </c>
      <c r="I3741" s="5" t="s">
        <v>8662</v>
      </c>
      <c r="J3741" s="12" t="str">
        <f>HYPERLINK("https://www.boe.es/gazeta/dias/1807/08/02/pdfs/GMD-1807-69E.pdf#page=6","Abrir facsímil")</f>
        <v>Abrir facsímil</v>
      </c>
      <c r="K3741" s="15" t="s">
        <v>22</v>
      </c>
    </row>
    <row r="3742" spans="1:11" ht="42" customHeight="1">
      <c r="A3742" s="4" t="s">
        <v>8653</v>
      </c>
      <c r="B3742" s="5" t="s">
        <v>8654</v>
      </c>
      <c r="C3742" s="5" t="s">
        <v>49</v>
      </c>
      <c r="D3742" s="5" t="s">
        <v>50</v>
      </c>
      <c r="E3742" s="5" t="s">
        <v>123</v>
      </c>
      <c r="F3742" s="9">
        <v>70</v>
      </c>
      <c r="G3742" s="9">
        <v>802</v>
      </c>
      <c r="H3742" s="5" t="s">
        <v>20</v>
      </c>
      <c r="I3742" s="5" t="s">
        <v>8663</v>
      </c>
      <c r="J3742" s="12" t="str">
        <f>HYPERLINK("https://www.boe.es/gazeta/dias/1807/08/04/pdfs/GMD-1807-70.pdf#page=6","Abrir facsímil")</f>
        <v>Abrir facsímil</v>
      </c>
      <c r="K3742" s="15" t="s">
        <v>22</v>
      </c>
    </row>
    <row r="3743" spans="1:11" ht="42" customHeight="1">
      <c r="A3743" s="4" t="s">
        <v>8653</v>
      </c>
      <c r="B3743" s="5" t="s">
        <v>8654</v>
      </c>
      <c r="C3743" s="5" t="s">
        <v>28</v>
      </c>
      <c r="D3743" s="5" t="s">
        <v>29</v>
      </c>
      <c r="E3743" s="5" t="s">
        <v>156</v>
      </c>
      <c r="F3743" s="9">
        <v>74</v>
      </c>
      <c r="G3743" s="9">
        <v>850</v>
      </c>
      <c r="H3743" s="5" t="s">
        <v>20</v>
      </c>
      <c r="I3743" s="5" t="s">
        <v>8664</v>
      </c>
      <c r="J3743" s="12" t="str">
        <f>HYPERLINK("https://www.boe.es/gazeta/dias/1807/08/18/pdfs/GMD-1807-74.pdf#page=2","Abrir facsímil")</f>
        <v>Abrir facsímil</v>
      </c>
      <c r="K3743" s="15" t="s">
        <v>22</v>
      </c>
    </row>
    <row r="3744" spans="1:11" ht="42" customHeight="1">
      <c r="A3744" s="4" t="s">
        <v>8665</v>
      </c>
      <c r="B3744" s="5" t="s">
        <v>8666</v>
      </c>
      <c r="C3744" s="5" t="s">
        <v>34</v>
      </c>
      <c r="D3744" s="5" t="s">
        <v>35</v>
      </c>
      <c r="E3744" s="5" t="s">
        <v>376</v>
      </c>
      <c r="F3744" s="9">
        <v>19</v>
      </c>
      <c r="G3744" s="9">
        <v>223</v>
      </c>
      <c r="H3744" s="5" t="s">
        <v>20</v>
      </c>
      <c r="I3744" s="5" t="s">
        <v>8667</v>
      </c>
      <c r="J3744" s="12" t="str">
        <f>HYPERLINK("https://www.boe.es/gazeta/dias/1807/02/27/pdfs/GMD-1807-19.pdf#page=7","Abrir facsímil")</f>
        <v>Abrir facsímil</v>
      </c>
      <c r="K3744" s="15" t="s">
        <v>22</v>
      </c>
    </row>
    <row r="3745" spans="1:11" ht="42" customHeight="1">
      <c r="A3745" s="4" t="s">
        <v>8668</v>
      </c>
      <c r="B3745" s="5" t="s">
        <v>8669</v>
      </c>
      <c r="C3745" s="5" t="s">
        <v>34</v>
      </c>
      <c r="D3745" s="5" t="s">
        <v>35</v>
      </c>
      <c r="E3745" s="5" t="s">
        <v>595</v>
      </c>
      <c r="F3745" s="9">
        <v>59</v>
      </c>
      <c r="G3745" s="9">
        <v>703</v>
      </c>
      <c r="H3745" s="5" t="s">
        <v>20</v>
      </c>
      <c r="I3745" s="5" t="s">
        <v>8670</v>
      </c>
      <c r="J3745" s="12" t="str">
        <f>HYPERLINK("https://www.boe.es/gazeta/dias/1807/07/10/pdfs/GMD-1807-59.pdf#page=9","Abrir facsímil")</f>
        <v>Abrir facsímil</v>
      </c>
      <c r="K3745" s="15" t="s">
        <v>22</v>
      </c>
    </row>
    <row r="3746" spans="1:11" ht="42" customHeight="1">
      <c r="A3746" s="4" t="s">
        <v>8671</v>
      </c>
      <c r="B3746" s="5" t="s">
        <v>8671</v>
      </c>
      <c r="C3746" s="5" t="s">
        <v>24</v>
      </c>
      <c r="D3746" s="5" t="s">
        <v>18</v>
      </c>
      <c r="E3746" s="5" t="s">
        <v>346</v>
      </c>
      <c r="F3746" s="9">
        <v>21</v>
      </c>
      <c r="G3746" s="9">
        <v>246</v>
      </c>
      <c r="H3746" s="5" t="s">
        <v>20</v>
      </c>
      <c r="I3746" s="5" t="s">
        <v>8672</v>
      </c>
      <c r="J3746" s="12" t="str">
        <f>HYPERLINK("https://www.boe.es/gazeta/dias/1807/03/03/pdfs/GMD-1807-21.pdf#page=10","Abrir facsímil")</f>
        <v>Abrir facsímil</v>
      </c>
      <c r="K3746" s="15" t="s">
        <v>22</v>
      </c>
    </row>
    <row r="3747" spans="1:11" ht="42" customHeight="1">
      <c r="A3747" s="4" t="s">
        <v>8673</v>
      </c>
      <c r="B3747" s="5" t="s">
        <v>8673</v>
      </c>
      <c r="C3747" s="5" t="s">
        <v>17</v>
      </c>
      <c r="D3747" s="5" t="s">
        <v>18</v>
      </c>
      <c r="E3747" s="5" t="s">
        <v>321</v>
      </c>
      <c r="F3747" s="9">
        <v>75</v>
      </c>
      <c r="G3747" s="9">
        <v>868</v>
      </c>
      <c r="H3747" s="5" t="s">
        <v>20</v>
      </c>
      <c r="I3747" s="5" t="s">
        <v>8674</v>
      </c>
      <c r="J3747" s="12" t="str">
        <f>HYPERLINK("https://www.boe.es/gazeta/dias/1807/08/21/pdfs/GMD-1807-75.pdf#page=8","Abrir facsímil")</f>
        <v>Abrir facsímil</v>
      </c>
      <c r="K3747" s="15" t="s">
        <v>22</v>
      </c>
    </row>
    <row r="3748" spans="1:11" ht="42" customHeight="1">
      <c r="A3748" s="4" t="s">
        <v>8675</v>
      </c>
      <c r="B3748" s="5" t="s">
        <v>8675</v>
      </c>
      <c r="C3748" s="5" t="s">
        <v>34</v>
      </c>
      <c r="D3748" s="5" t="s">
        <v>35</v>
      </c>
      <c r="E3748" s="5" t="s">
        <v>241</v>
      </c>
      <c r="F3748" s="9">
        <v>76</v>
      </c>
      <c r="G3748" s="9">
        <v>879</v>
      </c>
      <c r="H3748" s="5" t="s">
        <v>20</v>
      </c>
      <c r="I3748" s="5" t="s">
        <v>8676</v>
      </c>
      <c r="J3748" s="12" t="str">
        <f>HYPERLINK("https://www.boe.es/gazeta/dias/1807/08/25/pdfs/GMD-1807-76.pdf#page=7","Abrir facsímil")</f>
        <v>Abrir facsímil</v>
      </c>
      <c r="K3748" s="15" t="s">
        <v>22</v>
      </c>
    </row>
    <row r="3749" spans="1:11" ht="42" customHeight="1">
      <c r="A3749" s="4" t="s">
        <v>8677</v>
      </c>
      <c r="B3749" s="5" t="s">
        <v>8677</v>
      </c>
      <c r="C3749" s="5" t="s">
        <v>24</v>
      </c>
      <c r="D3749" s="5" t="s">
        <v>18</v>
      </c>
      <c r="E3749" s="5" t="s">
        <v>156</v>
      </c>
      <c r="F3749" s="9">
        <v>74</v>
      </c>
      <c r="G3749" s="9">
        <v>859</v>
      </c>
      <c r="H3749" s="5" t="s">
        <v>20</v>
      </c>
      <c r="I3749" s="5" t="s">
        <v>8678</v>
      </c>
      <c r="J3749" s="12" t="str">
        <f>HYPERLINK("https://www.boe.es/gazeta/dias/1807/08/18/pdfs/GMD-1807-74.pdf#page=11","Abrir facsímil")</f>
        <v>Abrir facsímil</v>
      </c>
      <c r="K3749" s="15" t="s">
        <v>22</v>
      </c>
    </row>
    <row r="3750" spans="1:11" ht="42" customHeight="1">
      <c r="A3750" s="4" t="s">
        <v>8679</v>
      </c>
      <c r="B3750" s="5" t="s">
        <v>8679</v>
      </c>
      <c r="C3750" s="5" t="s">
        <v>24</v>
      </c>
      <c r="D3750" s="5" t="s">
        <v>18</v>
      </c>
      <c r="E3750" s="5" t="s">
        <v>186</v>
      </c>
      <c r="F3750" s="9">
        <v>72</v>
      </c>
      <c r="G3750" s="9">
        <v>835</v>
      </c>
      <c r="H3750" s="5" t="s">
        <v>20</v>
      </c>
      <c r="I3750" s="5" t="s">
        <v>8680</v>
      </c>
      <c r="J3750" s="12" t="str">
        <f>HYPERLINK("https://www.boe.es/gazeta/dias/1807/08/11/pdfs/GMD-1807-72.pdf#page=15","Abrir facsímil")</f>
        <v>Abrir facsímil</v>
      </c>
      <c r="K3750" s="15" t="s">
        <v>22</v>
      </c>
    </row>
    <row r="3751" spans="1:11" ht="42" customHeight="1">
      <c r="A3751" s="4" t="s">
        <v>8681</v>
      </c>
      <c r="B3751" s="5" t="s">
        <v>8682</v>
      </c>
      <c r="C3751" s="5" t="s">
        <v>34</v>
      </c>
      <c r="D3751" s="5" t="s">
        <v>35</v>
      </c>
      <c r="E3751" s="5" t="s">
        <v>321</v>
      </c>
      <c r="F3751" s="9">
        <v>75</v>
      </c>
      <c r="G3751" s="9">
        <v>867</v>
      </c>
      <c r="H3751" s="5" t="s">
        <v>20</v>
      </c>
      <c r="I3751" s="5" t="s">
        <v>8683</v>
      </c>
      <c r="J3751" s="12" t="str">
        <f>HYPERLINK("https://www.boe.es/gazeta/dias/1807/08/21/pdfs/GMD-1807-75.pdf#page=7","Abrir facsímil")</f>
        <v>Abrir facsímil</v>
      </c>
      <c r="K3751" s="15" t="s">
        <v>22</v>
      </c>
    </row>
    <row r="3752" spans="1:11" ht="42" customHeight="1">
      <c r="A3752" s="4" t="s">
        <v>8684</v>
      </c>
      <c r="B3752" s="5" t="s">
        <v>8685</v>
      </c>
      <c r="C3752" s="5" t="s">
        <v>34</v>
      </c>
      <c r="D3752" s="5" t="s">
        <v>35</v>
      </c>
      <c r="E3752" s="5" t="s">
        <v>241</v>
      </c>
      <c r="F3752" s="9">
        <v>76</v>
      </c>
      <c r="G3752" s="9">
        <v>879</v>
      </c>
      <c r="H3752" s="5" t="s">
        <v>20</v>
      </c>
      <c r="I3752" s="5" t="s">
        <v>8686</v>
      </c>
      <c r="J3752" s="12" t="str">
        <f>HYPERLINK("https://www.boe.es/gazeta/dias/1807/08/25/pdfs/GMD-1807-76.pdf#page=7","Abrir facsímil")</f>
        <v>Abrir facsímil</v>
      </c>
      <c r="K3752" s="15" t="s">
        <v>22</v>
      </c>
    </row>
    <row r="3753" spans="1:11" ht="42" customHeight="1">
      <c r="A3753" s="4" t="s">
        <v>8687</v>
      </c>
      <c r="B3753" s="5" t="s">
        <v>8688</v>
      </c>
      <c r="C3753" s="5" t="s">
        <v>28</v>
      </c>
      <c r="D3753" s="5" t="s">
        <v>29</v>
      </c>
      <c r="E3753" s="5" t="s">
        <v>471</v>
      </c>
      <c r="F3753" s="9">
        <v>51</v>
      </c>
      <c r="G3753" s="9">
        <v>610</v>
      </c>
      <c r="H3753" s="5" t="s">
        <v>20</v>
      </c>
      <c r="I3753" s="5" t="s">
        <v>8689</v>
      </c>
      <c r="J3753" s="12" t="str">
        <f>HYPERLINK("https://www.boe.es/gazeta/dias/1807/06/16/pdfs/GMD-1807-51.pdf#page=12","Abrir facsímil")</f>
        <v>Abrir facsímil</v>
      </c>
      <c r="K3753" s="15" t="s">
        <v>22</v>
      </c>
    </row>
    <row r="3754" spans="1:11" ht="42" customHeight="1">
      <c r="A3754" s="4" t="s">
        <v>8690</v>
      </c>
      <c r="B3754" s="5" t="s">
        <v>8691</v>
      </c>
      <c r="C3754" s="5" t="s">
        <v>24</v>
      </c>
      <c r="D3754" s="5" t="s">
        <v>18</v>
      </c>
      <c r="E3754" s="5" t="s">
        <v>65</v>
      </c>
      <c r="F3754" s="9">
        <v>52</v>
      </c>
      <c r="G3754" s="9">
        <v>623</v>
      </c>
      <c r="H3754" s="5" t="s">
        <v>20</v>
      </c>
      <c r="I3754" s="5" t="s">
        <v>8692</v>
      </c>
      <c r="J3754" s="12" t="str">
        <f>HYPERLINK("https://www.boe.es/gazeta/dias/1807/06/19/pdfs/GMD-1807-52.pdf#page=13","Abrir facsímil")</f>
        <v>Abrir facsímil</v>
      </c>
      <c r="K3754" s="15" t="s">
        <v>22</v>
      </c>
    </row>
    <row r="3755" spans="1:11" ht="42" customHeight="1">
      <c r="A3755" s="4" t="s">
        <v>8693</v>
      </c>
      <c r="B3755" s="5" t="s">
        <v>8694</v>
      </c>
      <c r="C3755" s="5" t="s">
        <v>28</v>
      </c>
      <c r="D3755" s="5" t="s">
        <v>29</v>
      </c>
      <c r="E3755" s="5" t="s">
        <v>1076</v>
      </c>
      <c r="F3755" s="9">
        <v>96</v>
      </c>
      <c r="G3755" s="9">
        <v>1120</v>
      </c>
      <c r="H3755" s="5" t="s">
        <v>20</v>
      </c>
      <c r="I3755" s="5" t="s">
        <v>8695</v>
      </c>
      <c r="J3755" s="12" t="str">
        <f>HYPERLINK("https://www.boe.es/gazeta/dias/1807/10/27/pdfs/GMD-1807-96.pdf#page=12","Abrir facsímil")</f>
        <v>Abrir facsímil</v>
      </c>
      <c r="K3755" s="15" t="s">
        <v>22</v>
      </c>
    </row>
    <row r="3756" spans="1:11" ht="42" customHeight="1">
      <c r="A3756" s="4" t="s">
        <v>8696</v>
      </c>
      <c r="B3756" s="5" t="s">
        <v>8697</v>
      </c>
      <c r="C3756" s="5" t="s">
        <v>24</v>
      </c>
      <c r="D3756" s="5" t="s">
        <v>18</v>
      </c>
      <c r="E3756" s="5" t="s">
        <v>793</v>
      </c>
      <c r="F3756" s="9">
        <v>87</v>
      </c>
      <c r="G3756" s="9">
        <v>1011</v>
      </c>
      <c r="H3756" s="5" t="s">
        <v>20</v>
      </c>
      <c r="I3756" s="5" t="s">
        <v>8698</v>
      </c>
      <c r="J3756" s="12" t="str">
        <f>HYPERLINK("https://www.boe.es/gazeta/dias/1807/09/29/pdfs/GMD-1807-87.pdf#page=11","Abrir facsímil")</f>
        <v>Abrir facsímil</v>
      </c>
      <c r="K3756" s="15" t="s">
        <v>22</v>
      </c>
    </row>
    <row r="3757" spans="1:11" ht="42" customHeight="1">
      <c r="A3757" s="4" t="s">
        <v>8699</v>
      </c>
      <c r="B3757" s="5" t="s">
        <v>8700</v>
      </c>
      <c r="C3757" s="5" t="s">
        <v>28</v>
      </c>
      <c r="D3757" s="5" t="s">
        <v>29</v>
      </c>
      <c r="E3757" s="5" t="s">
        <v>478</v>
      </c>
      <c r="F3757" s="9">
        <v>30</v>
      </c>
      <c r="G3757" s="9">
        <v>356</v>
      </c>
      <c r="H3757" s="5" t="s">
        <v>20</v>
      </c>
      <c r="I3757" s="5" t="s">
        <v>8701</v>
      </c>
      <c r="J3757" s="12" t="str">
        <f>HYPERLINK("https://www.boe.es/gazeta/dias/1807/04/03/pdfs/GMD-1807-30.pdf#page=8","Abrir facsímil")</f>
        <v>Abrir facsímil</v>
      </c>
      <c r="K3757" s="15" t="s">
        <v>22</v>
      </c>
    </row>
    <row r="3758" spans="1:11" ht="42" customHeight="1">
      <c r="A3758" s="4" t="s">
        <v>8702</v>
      </c>
      <c r="B3758" s="5" t="s">
        <v>8703</v>
      </c>
      <c r="C3758" s="5" t="s">
        <v>69</v>
      </c>
      <c r="D3758" s="5" t="s">
        <v>70</v>
      </c>
      <c r="E3758" s="5" t="s">
        <v>71</v>
      </c>
      <c r="F3758" s="9">
        <v>35</v>
      </c>
      <c r="G3758" s="9" t="s">
        <v>72</v>
      </c>
      <c r="H3758" s="5" t="s">
        <v>20</v>
      </c>
      <c r="I3758" s="5" t="s">
        <v>8704</v>
      </c>
      <c r="J3758" s="12" t="str">
        <f>HYPERLINK("https://www.boe.es/gazeta/dias/1807/04/21/pdfs/C00001-00004.pdf#page=1","Abrir facsímil")</f>
        <v>Abrir facsímil</v>
      </c>
      <c r="K3758" s="15" t="s">
        <v>22</v>
      </c>
    </row>
    <row r="3759" spans="1:11" ht="42" customHeight="1">
      <c r="A3759" s="4" t="s">
        <v>8705</v>
      </c>
      <c r="B3759" s="5" t="s">
        <v>8706</v>
      </c>
      <c r="C3759" s="5" t="s">
        <v>89</v>
      </c>
      <c r="D3759" s="5" t="s">
        <v>90</v>
      </c>
      <c r="E3759" s="5" t="s">
        <v>393</v>
      </c>
      <c r="F3759" s="9">
        <v>15</v>
      </c>
      <c r="G3759" s="9">
        <v>175</v>
      </c>
      <c r="H3759" s="5" t="s">
        <v>20</v>
      </c>
      <c r="I3759" s="5" t="s">
        <v>8707</v>
      </c>
      <c r="J3759" s="12" t="str">
        <f>HYPERLINK("https://www.boe.es/gazeta/dias/1807/02/13/pdfs/GMD-1807-15.pdf#page=11","Abrir facsímil")</f>
        <v>Abrir facsímil</v>
      </c>
      <c r="K3759" s="15" t="s">
        <v>22</v>
      </c>
    </row>
    <row r="3760" spans="1:11" ht="42" customHeight="1">
      <c r="A3760" s="4" t="s">
        <v>8705</v>
      </c>
      <c r="B3760" s="5" t="s">
        <v>8706</v>
      </c>
      <c r="C3760" s="5" t="s">
        <v>89</v>
      </c>
      <c r="D3760" s="5" t="s">
        <v>90</v>
      </c>
      <c r="E3760" s="5" t="s">
        <v>464</v>
      </c>
      <c r="F3760" s="9">
        <v>18</v>
      </c>
      <c r="G3760" s="9">
        <v>214</v>
      </c>
      <c r="H3760" s="5" t="s">
        <v>20</v>
      </c>
      <c r="I3760" s="5" t="s">
        <v>8708</v>
      </c>
      <c r="J3760" s="12" t="str">
        <f>HYPERLINK("https://www.boe.es/gazeta/dias/1807/02/24/pdfs/GMD-1807-18.pdf#page=14","Abrir facsímil")</f>
        <v>Abrir facsímil</v>
      </c>
      <c r="K3760" s="15" t="s">
        <v>22</v>
      </c>
    </row>
    <row r="3761" spans="1:11" ht="42" customHeight="1">
      <c r="A3761" s="4" t="s">
        <v>8705</v>
      </c>
      <c r="B3761" s="5" t="s">
        <v>8706</v>
      </c>
      <c r="C3761" s="5" t="s">
        <v>34</v>
      </c>
      <c r="D3761" s="5" t="s">
        <v>35</v>
      </c>
      <c r="E3761" s="5" t="s">
        <v>104</v>
      </c>
      <c r="F3761" s="9">
        <v>25</v>
      </c>
      <c r="G3761" s="9">
        <v>303</v>
      </c>
      <c r="H3761" s="5" t="s">
        <v>20</v>
      </c>
      <c r="I3761" s="5" t="s">
        <v>8709</v>
      </c>
      <c r="J3761" s="12" t="str">
        <f>HYPERLINK("https://www.boe.es/gazeta/dias/1807/03/17/pdfs/GMD-1807-25.pdf#page=11","Abrir facsímil")</f>
        <v>Abrir facsímil</v>
      </c>
      <c r="K3761" s="15" t="s">
        <v>22</v>
      </c>
    </row>
    <row r="3762" spans="1:11" ht="42" customHeight="1">
      <c r="A3762" s="4" t="s">
        <v>8705</v>
      </c>
      <c r="B3762" s="5" t="s">
        <v>8706</v>
      </c>
      <c r="C3762" s="5" t="s">
        <v>89</v>
      </c>
      <c r="D3762" s="5" t="s">
        <v>90</v>
      </c>
      <c r="E3762" s="5" t="s">
        <v>190</v>
      </c>
      <c r="F3762" s="9">
        <v>37</v>
      </c>
      <c r="G3762" s="9">
        <v>443</v>
      </c>
      <c r="H3762" s="5" t="s">
        <v>20</v>
      </c>
      <c r="I3762" s="5" t="s">
        <v>8710</v>
      </c>
      <c r="J3762" s="12" t="str">
        <f>HYPERLINK("https://www.boe.es/gazeta/dias/1807/04/28/pdfs/GMD-1807-37.pdf#page=11","Abrir facsímil")</f>
        <v>Abrir facsímil</v>
      </c>
      <c r="K3762" s="15" t="s">
        <v>22</v>
      </c>
    </row>
    <row r="3763" spans="1:11" ht="42" customHeight="1">
      <c r="A3763" s="4" t="s">
        <v>8705</v>
      </c>
      <c r="B3763" s="5" t="s">
        <v>8706</v>
      </c>
      <c r="C3763" s="5" t="s">
        <v>89</v>
      </c>
      <c r="D3763" s="5" t="s">
        <v>90</v>
      </c>
      <c r="E3763" s="5" t="s">
        <v>114</v>
      </c>
      <c r="F3763" s="9">
        <v>46</v>
      </c>
      <c r="G3763" s="9">
        <v>552</v>
      </c>
      <c r="H3763" s="5" t="s">
        <v>20</v>
      </c>
      <c r="I3763" s="5" t="s">
        <v>8711</v>
      </c>
      <c r="J3763" s="12" t="str">
        <f>HYPERLINK("https://www.boe.es/gazeta/dias/1807/05/29/pdfs/GMD-1807-46.pdf#page=10","Abrir facsímil")</f>
        <v>Abrir facsímil</v>
      </c>
      <c r="K3763" s="15" t="s">
        <v>22</v>
      </c>
    </row>
    <row r="3764" spans="1:11" ht="42" customHeight="1">
      <c r="A3764" s="4" t="s">
        <v>8705</v>
      </c>
      <c r="B3764" s="5" t="s">
        <v>8706</v>
      </c>
      <c r="C3764" s="5" t="s">
        <v>89</v>
      </c>
      <c r="D3764" s="5" t="s">
        <v>90</v>
      </c>
      <c r="E3764" s="5" t="s">
        <v>530</v>
      </c>
      <c r="F3764" s="9">
        <v>79</v>
      </c>
      <c r="G3764" s="9">
        <v>922</v>
      </c>
      <c r="H3764" s="5" t="s">
        <v>20</v>
      </c>
      <c r="I3764" s="5" t="s">
        <v>8712</v>
      </c>
      <c r="J3764" s="12" t="str">
        <f>HYPERLINK("https://www.boe.es/gazeta/dias/1807/09/04/pdfs/GMD-1807-79.pdf#page=14","Abrir facsímil")</f>
        <v>Abrir facsímil</v>
      </c>
      <c r="K3764" s="15" t="s">
        <v>22</v>
      </c>
    </row>
    <row r="3765" spans="1:11" ht="42" customHeight="1">
      <c r="A3765" s="4" t="s">
        <v>8705</v>
      </c>
      <c r="B3765" s="5" t="s">
        <v>8706</v>
      </c>
      <c r="C3765" s="5" t="s">
        <v>89</v>
      </c>
      <c r="D3765" s="5" t="s">
        <v>90</v>
      </c>
      <c r="E3765" s="5" t="s">
        <v>929</v>
      </c>
      <c r="F3765" s="9">
        <v>85</v>
      </c>
      <c r="G3765" s="9">
        <v>994</v>
      </c>
      <c r="H3765" s="5" t="s">
        <v>20</v>
      </c>
      <c r="I3765" s="5" t="s">
        <v>8713</v>
      </c>
      <c r="J3765" s="12" t="str">
        <f>HYPERLINK("https://www.boe.es/gazeta/dias/1807/09/25/pdfs/GMD-1807-85.pdf#page=10","Abrir facsímil")</f>
        <v>Abrir facsímil</v>
      </c>
      <c r="K3765" s="15" t="s">
        <v>22</v>
      </c>
    </row>
    <row r="3766" spans="1:11" ht="42" customHeight="1">
      <c r="A3766" s="4" t="s">
        <v>8705</v>
      </c>
      <c r="B3766" s="5" t="s">
        <v>8706</v>
      </c>
      <c r="C3766" s="5" t="s">
        <v>89</v>
      </c>
      <c r="D3766" s="5" t="s">
        <v>90</v>
      </c>
      <c r="E3766" s="5" t="s">
        <v>245</v>
      </c>
      <c r="F3766" s="9">
        <v>97</v>
      </c>
      <c r="G3766" s="9">
        <v>1130</v>
      </c>
      <c r="H3766" s="5" t="s">
        <v>20</v>
      </c>
      <c r="I3766" s="5" t="s">
        <v>8714</v>
      </c>
      <c r="J3766" s="12" t="str">
        <f>HYPERLINK("https://www.boe.es/gazeta/dias/1807/10/30/pdfs/GMD-1807-97.pdf#page=10","Abrir facsímil")</f>
        <v>Abrir facsímil</v>
      </c>
      <c r="K3766" s="15" t="s">
        <v>22</v>
      </c>
    </row>
    <row r="3767" spans="1:11" ht="42" customHeight="1">
      <c r="A3767" s="4" t="s">
        <v>8705</v>
      </c>
      <c r="B3767" s="5" t="s">
        <v>8706</v>
      </c>
      <c r="C3767" s="5" t="s">
        <v>89</v>
      </c>
      <c r="D3767" s="5" t="s">
        <v>90</v>
      </c>
      <c r="E3767" s="5" t="s">
        <v>179</v>
      </c>
      <c r="F3767" s="9">
        <v>100</v>
      </c>
      <c r="G3767" s="9">
        <v>1165</v>
      </c>
      <c r="H3767" s="5" t="s">
        <v>20</v>
      </c>
      <c r="I3767" s="5" t="s">
        <v>8715</v>
      </c>
      <c r="J3767" s="12" t="str">
        <f>HYPERLINK("https://www.boe.es/gazeta/dias/1807/11/10/pdfs/GMD-1807-100.pdf#page=9","Abrir facsímil")</f>
        <v>Abrir facsímil</v>
      </c>
      <c r="K3767" s="15" t="s">
        <v>22</v>
      </c>
    </row>
    <row r="3768" spans="1:11" ht="42" customHeight="1">
      <c r="A3768" s="4" t="s">
        <v>8705</v>
      </c>
      <c r="B3768" s="5" t="s">
        <v>8706</v>
      </c>
      <c r="C3768" s="5" t="s">
        <v>34</v>
      </c>
      <c r="D3768" s="5" t="s">
        <v>35</v>
      </c>
      <c r="E3768" s="5" t="s">
        <v>275</v>
      </c>
      <c r="F3768" s="9">
        <v>104</v>
      </c>
      <c r="G3768" s="9">
        <v>1216</v>
      </c>
      <c r="H3768" s="5" t="s">
        <v>20</v>
      </c>
      <c r="I3768" s="5" t="s">
        <v>8716</v>
      </c>
      <c r="J3768" s="12" t="str">
        <f>HYPERLINK("https://www.boe.es/gazeta/dias/1807/11/24/pdfs/GMD-1807-104.pdf#page=12","Abrir facsímil")</f>
        <v>Abrir facsímil</v>
      </c>
      <c r="K3768" s="15" t="s">
        <v>22</v>
      </c>
    </row>
    <row r="3769" spans="1:11" ht="42" customHeight="1">
      <c r="A3769" s="4" t="s">
        <v>8705</v>
      </c>
      <c r="B3769" s="5" t="s">
        <v>8706</v>
      </c>
      <c r="C3769" s="5" t="s">
        <v>89</v>
      </c>
      <c r="D3769" s="5" t="s">
        <v>90</v>
      </c>
      <c r="E3769" s="5" t="s">
        <v>384</v>
      </c>
      <c r="F3769" s="9">
        <v>111</v>
      </c>
      <c r="G3769" s="9">
        <v>1298</v>
      </c>
      <c r="H3769" s="5" t="s">
        <v>20</v>
      </c>
      <c r="I3769" s="5" t="s">
        <v>8717</v>
      </c>
      <c r="J3769" s="12" t="str">
        <f>HYPERLINK("https://www.boe.es/gazeta/dias/1807/12/15/pdfs/GMD-1807-111.pdf#page=10","Abrir facsímil")</f>
        <v>Abrir facsímil</v>
      </c>
      <c r="K3769" s="15" t="s">
        <v>22</v>
      </c>
    </row>
    <row r="3770" spans="1:11" ht="42" customHeight="1">
      <c r="A3770" s="4" t="s">
        <v>8718</v>
      </c>
      <c r="B3770" s="5" t="s">
        <v>8719</v>
      </c>
      <c r="C3770" s="5" t="s">
        <v>28</v>
      </c>
      <c r="D3770" s="5" t="s">
        <v>29</v>
      </c>
      <c r="E3770" s="5" t="s">
        <v>581</v>
      </c>
      <c r="F3770" s="9">
        <v>71</v>
      </c>
      <c r="G3770" s="9">
        <v>815</v>
      </c>
      <c r="H3770" s="5" t="s">
        <v>20</v>
      </c>
      <c r="I3770" s="5" t="s">
        <v>8720</v>
      </c>
      <c r="J3770" s="12" t="str">
        <f>HYPERLINK("https://www.boe.es/gazeta/dias/1807/08/07/pdfs/GMD-1807-71.pdf#page=7","Abrir facsímil")</f>
        <v>Abrir facsímil</v>
      </c>
      <c r="K3770" s="15" t="s">
        <v>22</v>
      </c>
    </row>
    <row r="3771" spans="1:11" ht="42" customHeight="1">
      <c r="A3771" s="4" t="s">
        <v>8721</v>
      </c>
      <c r="B3771" s="5" t="s">
        <v>8722</v>
      </c>
      <c r="C3771" s="5" t="s">
        <v>34</v>
      </c>
      <c r="D3771" s="5" t="s">
        <v>35</v>
      </c>
      <c r="E3771" s="5" t="s">
        <v>620</v>
      </c>
      <c r="F3771" s="9">
        <v>84</v>
      </c>
      <c r="G3771" s="9">
        <v>981</v>
      </c>
      <c r="H3771" s="5" t="s">
        <v>20</v>
      </c>
      <c r="I3771" s="5" t="s">
        <v>8723</v>
      </c>
      <c r="J3771" s="12" t="str">
        <f>HYPERLINK("https://www.boe.es/gazeta/dias/1807/09/22/pdfs/GMD-1807-84.pdf#page=9","Abrir facsímil")</f>
        <v>Abrir facsímil</v>
      </c>
      <c r="K3771" s="15" t="s">
        <v>22</v>
      </c>
    </row>
    <row r="3772" spans="1:11" ht="42" customHeight="1">
      <c r="A3772" s="4" t="s">
        <v>8724</v>
      </c>
      <c r="B3772" s="5" t="s">
        <v>8724</v>
      </c>
      <c r="C3772" s="5" t="s">
        <v>34</v>
      </c>
      <c r="D3772" s="5" t="s">
        <v>35</v>
      </c>
      <c r="E3772" s="5" t="s">
        <v>259</v>
      </c>
      <c r="F3772" s="9">
        <v>3</v>
      </c>
      <c r="G3772" s="9">
        <v>27</v>
      </c>
      <c r="H3772" s="5" t="s">
        <v>20</v>
      </c>
      <c r="I3772" s="5" t="s">
        <v>8725</v>
      </c>
      <c r="J3772" s="12" t="str">
        <f>HYPERLINK("https://www.boe.es/gazeta/dias/1807/01/09/pdfs/GMD-1807-3.pdf#page=7","Abrir facsímil")</f>
        <v>Abrir facsímil</v>
      </c>
      <c r="K3772" s="15" t="s">
        <v>22</v>
      </c>
    </row>
    <row r="3773" spans="1:11" ht="42" customHeight="1">
      <c r="A3773" s="4" t="s">
        <v>8726</v>
      </c>
      <c r="B3773" s="5" t="s">
        <v>8726</v>
      </c>
      <c r="C3773" s="5" t="s">
        <v>49</v>
      </c>
      <c r="D3773" s="5" t="s">
        <v>50</v>
      </c>
      <c r="E3773" s="5" t="s">
        <v>346</v>
      </c>
      <c r="F3773" s="9">
        <v>21</v>
      </c>
      <c r="G3773" s="9">
        <v>243</v>
      </c>
      <c r="H3773" s="5" t="s">
        <v>20</v>
      </c>
      <c r="I3773" s="5" t="s">
        <v>8727</v>
      </c>
      <c r="J3773" s="12" t="str">
        <f>HYPERLINK("https://www.boe.es/gazeta/dias/1807/03/03/pdfs/GMD-1807-21.pdf#page=7","Abrir facsímil")</f>
        <v>Abrir facsímil</v>
      </c>
      <c r="K3773" s="15" t="s">
        <v>22</v>
      </c>
    </row>
    <row r="3774" spans="1:11" ht="42" customHeight="1">
      <c r="A3774" s="4" t="s">
        <v>8728</v>
      </c>
      <c r="B3774" s="5" t="s">
        <v>8729</v>
      </c>
      <c r="C3774" s="5" t="s">
        <v>28</v>
      </c>
      <c r="D3774" s="5" t="s">
        <v>29</v>
      </c>
      <c r="E3774" s="5" t="s">
        <v>152</v>
      </c>
      <c r="F3774" s="9">
        <v>61</v>
      </c>
      <c r="G3774" s="9">
        <v>720</v>
      </c>
      <c r="H3774" s="5" t="s">
        <v>20</v>
      </c>
      <c r="I3774" s="5" t="s">
        <v>8730</v>
      </c>
      <c r="J3774" s="12" t="str">
        <f>HYPERLINK("https://www.boe.es/gazeta/dias/1807/07/14/pdfs/GMD-1807-61.pdf#page=6","Abrir facsímil")</f>
        <v>Abrir facsímil</v>
      </c>
      <c r="K3774" s="15" t="s">
        <v>22</v>
      </c>
    </row>
    <row r="3775" spans="1:11" ht="42" customHeight="1">
      <c r="A3775" s="4" t="s">
        <v>8731</v>
      </c>
      <c r="B3775" s="5" t="s">
        <v>8732</v>
      </c>
      <c r="C3775" s="5" t="s">
        <v>28</v>
      </c>
      <c r="D3775" s="5" t="s">
        <v>29</v>
      </c>
      <c r="E3775" s="5" t="s">
        <v>346</v>
      </c>
      <c r="F3775" s="9">
        <v>21</v>
      </c>
      <c r="G3775" s="9">
        <v>246</v>
      </c>
      <c r="H3775" s="5" t="s">
        <v>20</v>
      </c>
      <c r="I3775" s="5" t="s">
        <v>8733</v>
      </c>
      <c r="J3775" s="12" t="str">
        <f>HYPERLINK("https://www.boe.es/gazeta/dias/1807/03/03/pdfs/GMD-1807-21.pdf#page=10","Abrir facsímil")</f>
        <v>Abrir facsímil</v>
      </c>
      <c r="K3775" s="15" t="s">
        <v>22</v>
      </c>
    </row>
    <row r="3776" spans="1:11" ht="42" customHeight="1">
      <c r="A3776" s="4" t="s">
        <v>8734</v>
      </c>
      <c r="B3776" s="5" t="s">
        <v>8735</v>
      </c>
      <c r="C3776" s="5" t="s">
        <v>28</v>
      </c>
      <c r="D3776" s="5" t="s">
        <v>29</v>
      </c>
      <c r="E3776" s="5" t="s">
        <v>346</v>
      </c>
      <c r="F3776" s="9">
        <v>21</v>
      </c>
      <c r="G3776" s="9">
        <v>246</v>
      </c>
      <c r="H3776" s="5" t="s">
        <v>20</v>
      </c>
      <c r="I3776" s="5" t="s">
        <v>8736</v>
      </c>
      <c r="J3776" s="12" t="str">
        <f>HYPERLINK("https://www.boe.es/gazeta/dias/1807/03/03/pdfs/GMD-1807-21.pdf#page=10","Abrir facsímil")</f>
        <v>Abrir facsímil</v>
      </c>
      <c r="K3776" s="15" t="s">
        <v>22</v>
      </c>
    </row>
    <row r="3777" spans="1:11" ht="42" customHeight="1">
      <c r="A3777" s="4" t="s">
        <v>8737</v>
      </c>
      <c r="B3777" s="5" t="s">
        <v>8738</v>
      </c>
      <c r="C3777" s="5" t="s">
        <v>17</v>
      </c>
      <c r="D3777" s="5" t="s">
        <v>18</v>
      </c>
      <c r="E3777" s="5" t="s">
        <v>666</v>
      </c>
      <c r="F3777" s="9">
        <v>43</v>
      </c>
      <c r="G3777" s="9">
        <v>515</v>
      </c>
      <c r="H3777" s="5" t="s">
        <v>20</v>
      </c>
      <c r="I3777" s="5" t="s">
        <v>8739</v>
      </c>
      <c r="J3777" s="12" t="str">
        <f>HYPERLINK("https://www.boe.es/gazeta/dias/1807/05/19/pdfs/GMD-1807-43.pdf#page=9","Abrir facsímil")</f>
        <v>Abrir facsímil</v>
      </c>
      <c r="K3777" s="15" t="s">
        <v>22</v>
      </c>
    </row>
    <row r="3778" spans="1:11" ht="42" customHeight="1">
      <c r="A3778" s="4" t="s">
        <v>8740</v>
      </c>
      <c r="B3778" s="5" t="s">
        <v>8741</v>
      </c>
      <c r="C3778" s="5" t="s">
        <v>49</v>
      </c>
      <c r="D3778" s="5" t="s">
        <v>50</v>
      </c>
      <c r="E3778" s="5" t="s">
        <v>62</v>
      </c>
      <c r="F3778" s="9">
        <v>68</v>
      </c>
      <c r="G3778" s="9">
        <v>778</v>
      </c>
      <c r="H3778" s="5" t="s">
        <v>20</v>
      </c>
      <c r="I3778" s="5" t="s">
        <v>8742</v>
      </c>
      <c r="J3778" s="12" t="str">
        <f>HYPERLINK("https://www.boe.es/gazeta/dias/1807/07/31/pdfs/GMD-1807-68.pdf#page=2","Abrir facsímil")</f>
        <v>Abrir facsímil</v>
      </c>
      <c r="K3778" s="15" t="s">
        <v>22</v>
      </c>
    </row>
    <row r="3779" spans="1:11" ht="42" customHeight="1">
      <c r="A3779" s="4" t="s">
        <v>8743</v>
      </c>
      <c r="B3779" s="5" t="s">
        <v>8743</v>
      </c>
      <c r="C3779" s="5" t="s">
        <v>49</v>
      </c>
      <c r="D3779" s="5" t="s">
        <v>50</v>
      </c>
      <c r="E3779" s="5" t="s">
        <v>221</v>
      </c>
      <c r="F3779" s="9">
        <v>73</v>
      </c>
      <c r="G3779" s="9">
        <v>839</v>
      </c>
      <c r="H3779" s="5" t="s">
        <v>20</v>
      </c>
      <c r="I3779" s="5" t="s">
        <v>8744</v>
      </c>
      <c r="J3779" s="12" t="str">
        <f>HYPERLINK("https://www.boe.es/gazeta/dias/1807/08/14/pdfs/GMD-1807-73.pdf#page=3","Abrir facsímil")</f>
        <v>Abrir facsímil</v>
      </c>
      <c r="K3779" s="15" t="s">
        <v>22</v>
      </c>
    </row>
    <row r="3780" spans="1:11" ht="42" customHeight="1">
      <c r="A3780" s="4" t="s">
        <v>8745</v>
      </c>
      <c r="B3780" s="5" t="s">
        <v>8746</v>
      </c>
      <c r="C3780" s="5" t="s">
        <v>49</v>
      </c>
      <c r="D3780" s="5" t="s">
        <v>50</v>
      </c>
      <c r="E3780" s="5" t="s">
        <v>1934</v>
      </c>
      <c r="F3780" s="9">
        <v>2</v>
      </c>
      <c r="G3780" s="9">
        <v>17</v>
      </c>
      <c r="H3780" s="5" t="s">
        <v>20</v>
      </c>
      <c r="I3780" s="5" t="s">
        <v>8747</v>
      </c>
      <c r="J3780" s="12" t="str">
        <f>HYPERLINK("https://www.boe.es/gazeta/dias/1807/01/06/pdfs/GMD-1807-2.pdf#page=5","Abrir facsímil")</f>
        <v>Abrir facsímil</v>
      </c>
      <c r="K3780" s="15" t="s">
        <v>22</v>
      </c>
    </row>
    <row r="3781" spans="1:11" ht="42" customHeight="1">
      <c r="A3781" s="4" t="s">
        <v>8748</v>
      </c>
      <c r="B3781" s="5" t="s">
        <v>8749</v>
      </c>
      <c r="C3781" s="5" t="s">
        <v>28</v>
      </c>
      <c r="D3781" s="5" t="s">
        <v>29</v>
      </c>
      <c r="E3781" s="5" t="s">
        <v>259</v>
      </c>
      <c r="F3781" s="9">
        <v>3</v>
      </c>
      <c r="G3781" s="9">
        <v>26</v>
      </c>
      <c r="H3781" s="5" t="s">
        <v>20</v>
      </c>
      <c r="I3781" s="5" t="s">
        <v>8750</v>
      </c>
      <c r="J3781" s="12" t="str">
        <f>HYPERLINK("https://www.boe.es/gazeta/dias/1807/01/09/pdfs/GMD-1807-3.pdf#page=6","Abrir facsímil")</f>
        <v>Abrir facsímil</v>
      </c>
      <c r="K3781" s="15" t="s">
        <v>22</v>
      </c>
    </row>
    <row r="3782" spans="1:11" ht="42" customHeight="1">
      <c r="A3782" s="4" t="s">
        <v>8748</v>
      </c>
      <c r="B3782" s="5" t="s">
        <v>8749</v>
      </c>
      <c r="C3782" s="5" t="s">
        <v>28</v>
      </c>
      <c r="D3782" s="5" t="s">
        <v>29</v>
      </c>
      <c r="E3782" s="5" t="s">
        <v>215</v>
      </c>
      <c r="F3782" s="9">
        <v>5</v>
      </c>
      <c r="G3782" s="9">
        <v>50</v>
      </c>
      <c r="H3782" s="5" t="s">
        <v>20</v>
      </c>
      <c r="I3782" s="5" t="s">
        <v>8751</v>
      </c>
      <c r="J3782" s="12" t="str">
        <f>HYPERLINK("https://www.boe.es/gazeta/dias/1807/01/16/pdfs/GMD-1807-5.pdf#page=6","Abrir facsímil")</f>
        <v>Abrir facsímil</v>
      </c>
      <c r="K3782" s="15" t="s">
        <v>22</v>
      </c>
    </row>
    <row r="3783" spans="1:11" ht="42" customHeight="1">
      <c r="A3783" s="4" t="s">
        <v>8748</v>
      </c>
      <c r="B3783" s="5" t="s">
        <v>8749</v>
      </c>
      <c r="C3783" s="5" t="s">
        <v>34</v>
      </c>
      <c r="D3783" s="5" t="s">
        <v>35</v>
      </c>
      <c r="E3783" s="5" t="s">
        <v>534</v>
      </c>
      <c r="F3783" s="9" t="s">
        <v>535</v>
      </c>
      <c r="G3783" s="9">
        <v>101</v>
      </c>
      <c r="H3783" s="5" t="s">
        <v>20</v>
      </c>
      <c r="I3783" s="5" t="s">
        <v>8752</v>
      </c>
      <c r="J3783" s="12" t="str">
        <f>HYPERLINK("https://www.boe.es/gazeta/dias/1807/01/24/pdfs/GMD-1807-9E.pdf#page=5","Abrir facsímil")</f>
        <v>Abrir facsímil</v>
      </c>
      <c r="K3783" s="15" t="s">
        <v>22</v>
      </c>
    </row>
    <row r="3784" spans="1:11" ht="42" customHeight="1">
      <c r="A3784" s="4" t="s">
        <v>8748</v>
      </c>
      <c r="B3784" s="5" t="s">
        <v>8749</v>
      </c>
      <c r="C3784" s="5" t="s">
        <v>252</v>
      </c>
      <c r="D3784" s="5" t="s">
        <v>253</v>
      </c>
      <c r="E3784" s="5" t="s">
        <v>534</v>
      </c>
      <c r="F3784" s="9" t="s">
        <v>535</v>
      </c>
      <c r="G3784" s="9">
        <v>98</v>
      </c>
      <c r="H3784" s="5" t="s">
        <v>20</v>
      </c>
      <c r="I3784" s="5" t="s">
        <v>8753</v>
      </c>
      <c r="J3784" s="12" t="str">
        <f>HYPERLINK("https://www.boe.es/gazeta/dias/1807/01/24/pdfs/GMD-1807-9E.pdf#page=2","Abrir facsímil")</f>
        <v>Abrir facsímil</v>
      </c>
      <c r="K3784" s="15" t="s">
        <v>22</v>
      </c>
    </row>
    <row r="3785" spans="1:11" ht="42" customHeight="1">
      <c r="A3785" s="4" t="s">
        <v>8748</v>
      </c>
      <c r="B3785" s="5" t="s">
        <v>8749</v>
      </c>
      <c r="C3785" s="5" t="s">
        <v>34</v>
      </c>
      <c r="D3785" s="5" t="s">
        <v>35</v>
      </c>
      <c r="E3785" s="5" t="s">
        <v>534</v>
      </c>
      <c r="F3785" s="9" t="s">
        <v>535</v>
      </c>
      <c r="G3785" s="9">
        <v>99</v>
      </c>
      <c r="H3785" s="5" t="s">
        <v>20</v>
      </c>
      <c r="I3785" s="5" t="s">
        <v>8754</v>
      </c>
      <c r="J3785" s="12" t="str">
        <f>HYPERLINK("https://www.boe.es/gazeta/dias/1807/01/24/pdfs/GMD-1807-9E.pdf#page=3","Abrir facsímil")</f>
        <v>Abrir facsímil</v>
      </c>
      <c r="K3785" s="15" t="s">
        <v>22</v>
      </c>
    </row>
    <row r="3786" spans="1:11" ht="42" customHeight="1">
      <c r="A3786" s="4" t="s">
        <v>8748</v>
      </c>
      <c r="B3786" s="5" t="s">
        <v>8749</v>
      </c>
      <c r="C3786" s="5" t="s">
        <v>49</v>
      </c>
      <c r="D3786" s="5" t="s">
        <v>50</v>
      </c>
      <c r="E3786" s="5" t="s">
        <v>86</v>
      </c>
      <c r="F3786" s="9">
        <v>12</v>
      </c>
      <c r="G3786" s="9">
        <v>134</v>
      </c>
      <c r="H3786" s="5" t="s">
        <v>20</v>
      </c>
      <c r="I3786" s="5" t="s">
        <v>8755</v>
      </c>
      <c r="J3786" s="12" t="str">
        <f>HYPERLINK("https://www.boe.es/gazeta/dias/1807/02/03/pdfs/GMD-1807-12.pdf#page=6","Abrir facsímil")</f>
        <v>Abrir facsímil</v>
      </c>
      <c r="K3786" s="15" t="s">
        <v>22</v>
      </c>
    </row>
    <row r="3787" spans="1:11" ht="42" customHeight="1">
      <c r="A3787" s="4" t="s">
        <v>8748</v>
      </c>
      <c r="B3787" s="5" t="s">
        <v>8749</v>
      </c>
      <c r="C3787" s="5" t="s">
        <v>49</v>
      </c>
      <c r="D3787" s="5" t="s">
        <v>50</v>
      </c>
      <c r="E3787" s="5" t="s">
        <v>176</v>
      </c>
      <c r="F3787" s="9">
        <v>17</v>
      </c>
      <c r="G3787" s="9">
        <v>190</v>
      </c>
      <c r="H3787" s="5" t="s">
        <v>20</v>
      </c>
      <c r="I3787" s="5" t="s">
        <v>8756</v>
      </c>
      <c r="J3787" s="12" t="str">
        <f>HYPERLINK("https://www.boe.es/gazeta/dias/1807/02/20/pdfs/GMD-1807-17.pdf#page=2","Abrir facsímil")</f>
        <v>Abrir facsímil</v>
      </c>
      <c r="K3787" s="15" t="s">
        <v>22</v>
      </c>
    </row>
    <row r="3788" spans="1:11" ht="42" customHeight="1">
      <c r="A3788" s="4" t="s">
        <v>8748</v>
      </c>
      <c r="B3788" s="5" t="s">
        <v>8749</v>
      </c>
      <c r="C3788" s="5" t="s">
        <v>49</v>
      </c>
      <c r="D3788" s="5" t="s">
        <v>50</v>
      </c>
      <c r="E3788" s="5" t="s">
        <v>464</v>
      </c>
      <c r="F3788" s="9">
        <v>18</v>
      </c>
      <c r="G3788" s="9">
        <v>209</v>
      </c>
      <c r="H3788" s="5" t="s">
        <v>20</v>
      </c>
      <c r="I3788" s="5" t="s">
        <v>8757</v>
      </c>
      <c r="J3788" s="12" t="str">
        <f>HYPERLINK("https://www.boe.es/gazeta/dias/1807/02/24/pdfs/GMD-1807-18.pdf#page=9","Abrir facsímil")</f>
        <v>Abrir facsímil</v>
      </c>
      <c r="K3788" s="15" t="s">
        <v>22</v>
      </c>
    </row>
    <row r="3789" spans="1:11" ht="42" customHeight="1">
      <c r="A3789" s="4" t="s">
        <v>8758</v>
      </c>
      <c r="B3789" s="5" t="s">
        <v>8759</v>
      </c>
      <c r="C3789" s="5" t="s">
        <v>252</v>
      </c>
      <c r="D3789" s="5" t="s">
        <v>253</v>
      </c>
      <c r="E3789" s="5" t="s">
        <v>534</v>
      </c>
      <c r="F3789" s="9" t="s">
        <v>535</v>
      </c>
      <c r="G3789" s="9">
        <v>102</v>
      </c>
      <c r="H3789" s="5" t="s">
        <v>20</v>
      </c>
      <c r="I3789" s="5" t="s">
        <v>8760</v>
      </c>
      <c r="J3789" s="12" t="str">
        <f>HYPERLINK("https://www.boe.es/gazeta/dias/1807/01/24/pdfs/GMD-1807-9E.pdf#page=6","Abrir facsímil")</f>
        <v>Abrir facsímil</v>
      </c>
      <c r="K3789" s="15" t="s">
        <v>22</v>
      </c>
    </row>
    <row r="3790" spans="1:11" ht="42" customHeight="1">
      <c r="A3790" s="4" t="s">
        <v>8761</v>
      </c>
      <c r="B3790" s="5" t="s">
        <v>8762</v>
      </c>
      <c r="C3790" s="5" t="s">
        <v>34</v>
      </c>
      <c r="D3790" s="5" t="s">
        <v>35</v>
      </c>
      <c r="E3790" s="5" t="s">
        <v>319</v>
      </c>
      <c r="F3790" s="9">
        <v>54</v>
      </c>
      <c r="G3790" s="9">
        <v>645</v>
      </c>
      <c r="H3790" s="5" t="s">
        <v>20</v>
      </c>
      <c r="I3790" s="5" t="s">
        <v>8763</v>
      </c>
      <c r="J3790" s="12" t="str">
        <f>HYPERLINK("https://www.boe.es/gazeta/dias/1807/06/26/pdfs/GMD-1807-54.pdf#page=7","Abrir facsímil")</f>
        <v>Abrir facsímil</v>
      </c>
      <c r="K3790" s="15" t="s">
        <v>22</v>
      </c>
    </row>
    <row r="3791" spans="1:11" ht="42" customHeight="1">
      <c r="A3791" s="4" t="s">
        <v>8764</v>
      </c>
      <c r="B3791" s="5" t="s">
        <v>8764</v>
      </c>
      <c r="C3791" s="5" t="s">
        <v>17</v>
      </c>
      <c r="D3791" s="5" t="s">
        <v>18</v>
      </c>
      <c r="E3791" s="5" t="s">
        <v>620</v>
      </c>
      <c r="F3791" s="9">
        <v>84</v>
      </c>
      <c r="G3791" s="9">
        <v>981</v>
      </c>
      <c r="H3791" s="5" t="s">
        <v>20</v>
      </c>
      <c r="I3791" s="5" t="s">
        <v>8765</v>
      </c>
      <c r="J3791" s="12" t="str">
        <f>HYPERLINK("https://www.boe.es/gazeta/dias/1807/09/22/pdfs/GMD-1807-84.pdf#page=9","Abrir facsímil")</f>
        <v>Abrir facsímil</v>
      </c>
      <c r="K3791" s="15" t="s">
        <v>22</v>
      </c>
    </row>
    <row r="3792" spans="1:11" ht="42" customHeight="1">
      <c r="A3792" s="4" t="s">
        <v>8766</v>
      </c>
      <c r="B3792" s="5" t="s">
        <v>8767</v>
      </c>
      <c r="C3792" s="5" t="s">
        <v>89</v>
      </c>
      <c r="D3792" s="5" t="s">
        <v>90</v>
      </c>
      <c r="E3792" s="5" t="s">
        <v>1076</v>
      </c>
      <c r="F3792" s="9">
        <v>96</v>
      </c>
      <c r="G3792" s="9">
        <v>1120</v>
      </c>
      <c r="H3792" s="5" t="s">
        <v>20</v>
      </c>
      <c r="I3792" s="5" t="s">
        <v>8768</v>
      </c>
      <c r="J3792" s="12" t="str">
        <f>HYPERLINK("https://www.boe.es/gazeta/dias/1807/10/27/pdfs/GMD-1807-96.pdf#page=12","Abrir facsímil")</f>
        <v>Abrir facsímil</v>
      </c>
      <c r="K3792" s="15" t="s">
        <v>22</v>
      </c>
    </row>
    <row r="3793" spans="1:11" ht="42" customHeight="1">
      <c r="A3793" s="4" t="s">
        <v>8769</v>
      </c>
      <c r="B3793" s="5" t="s">
        <v>8769</v>
      </c>
      <c r="C3793" s="5" t="s">
        <v>28</v>
      </c>
      <c r="D3793" s="5" t="s">
        <v>29</v>
      </c>
      <c r="E3793" s="5" t="s">
        <v>327</v>
      </c>
      <c r="F3793" s="9">
        <v>108</v>
      </c>
      <c r="G3793" s="9">
        <v>1254</v>
      </c>
      <c r="H3793" s="5" t="s">
        <v>20</v>
      </c>
      <c r="I3793" s="5" t="s">
        <v>8770</v>
      </c>
      <c r="J3793" s="12" t="str">
        <f>HYPERLINK("https://www.boe.es/gazeta/dias/1807/12/04/pdfs/GMD-1807-108.pdf#page=2","Abrir facsímil")</f>
        <v>Abrir facsímil</v>
      </c>
      <c r="K3793" s="15" t="s">
        <v>22</v>
      </c>
    </row>
    <row r="3794" spans="1:11" ht="42" customHeight="1">
      <c r="A3794" s="4" t="s">
        <v>8771</v>
      </c>
      <c r="B3794" s="5" t="s">
        <v>8772</v>
      </c>
      <c r="C3794" s="5" t="s">
        <v>34</v>
      </c>
      <c r="D3794" s="5" t="s">
        <v>35</v>
      </c>
      <c r="E3794" s="5" t="s">
        <v>186</v>
      </c>
      <c r="F3794" s="9">
        <v>72</v>
      </c>
      <c r="G3794" s="9">
        <v>828</v>
      </c>
      <c r="H3794" s="5" t="s">
        <v>20</v>
      </c>
      <c r="I3794" s="5" t="s">
        <v>8773</v>
      </c>
      <c r="J3794" s="12" t="str">
        <f>HYPERLINK("https://www.boe.es/gazeta/dias/1807/08/11/pdfs/GMD-1807-72.pdf#page=8","Abrir facsímil")</f>
        <v>Abrir facsímil</v>
      </c>
      <c r="K3794" s="15" t="s">
        <v>22</v>
      </c>
    </row>
    <row r="3795" spans="1:11" ht="42" customHeight="1">
      <c r="A3795" s="4" t="s">
        <v>8774</v>
      </c>
      <c r="B3795" s="5" t="s">
        <v>8774</v>
      </c>
      <c r="C3795" s="5" t="s">
        <v>49</v>
      </c>
      <c r="D3795" s="5" t="s">
        <v>50</v>
      </c>
      <c r="E3795" s="5" t="s">
        <v>120</v>
      </c>
      <c r="F3795" s="9">
        <v>10</v>
      </c>
      <c r="G3795" s="9">
        <v>107</v>
      </c>
      <c r="H3795" s="5" t="s">
        <v>20</v>
      </c>
      <c r="I3795" s="5" t="s">
        <v>8775</v>
      </c>
      <c r="J3795" s="12" t="str">
        <f>HYPERLINK("https://www.boe.es/gazeta/dias/1807/01/27/pdfs/GMD-1807-10.pdf#page=3","Abrir facsímil")</f>
        <v>Abrir facsímil</v>
      </c>
      <c r="K3795" s="15" t="s">
        <v>22</v>
      </c>
    </row>
    <row r="3796" spans="1:11" ht="42" customHeight="1">
      <c r="A3796" s="4" t="s">
        <v>8776</v>
      </c>
      <c r="B3796" s="5" t="s">
        <v>8776</v>
      </c>
      <c r="C3796" s="5" t="s">
        <v>17</v>
      </c>
      <c r="D3796" s="5" t="s">
        <v>18</v>
      </c>
      <c r="E3796" s="5" t="s">
        <v>390</v>
      </c>
      <c r="F3796" s="9">
        <v>24</v>
      </c>
      <c r="G3796" s="9">
        <v>287</v>
      </c>
      <c r="H3796" s="5" t="s">
        <v>20</v>
      </c>
      <c r="I3796" s="5" t="s">
        <v>8777</v>
      </c>
      <c r="J3796" s="12" t="str">
        <f>HYPERLINK("https://www.boe.es/gazeta/dias/1807/03/13/pdfs/GMD-1807-24.pdf#page=11","Abrir facsímil")</f>
        <v>Abrir facsímil</v>
      </c>
      <c r="K3796" s="15" t="s">
        <v>22</v>
      </c>
    </row>
    <row r="3797" spans="1:11" ht="42" customHeight="1">
      <c r="A3797" s="4" t="s">
        <v>8778</v>
      </c>
      <c r="B3797" s="5" t="s">
        <v>8779</v>
      </c>
      <c r="C3797" s="5" t="s">
        <v>28</v>
      </c>
      <c r="D3797" s="5" t="s">
        <v>29</v>
      </c>
      <c r="E3797" s="5" t="s">
        <v>266</v>
      </c>
      <c r="F3797" s="9">
        <v>67</v>
      </c>
      <c r="G3797" s="9">
        <v>772</v>
      </c>
      <c r="H3797" s="5" t="s">
        <v>20</v>
      </c>
      <c r="I3797" s="5" t="s">
        <v>8780</v>
      </c>
      <c r="J3797" s="12" t="str">
        <f>HYPERLINK("https://www.boe.es/gazeta/dias/1807/07/28/pdfs/GMD-1807-67.pdf#page=8","Abrir facsímil")</f>
        <v>Abrir facsímil</v>
      </c>
      <c r="K3797" s="15" t="s">
        <v>22</v>
      </c>
    </row>
    <row r="3798" spans="1:11" ht="42" customHeight="1">
      <c r="A3798" s="4" t="s">
        <v>8781</v>
      </c>
      <c r="B3798" s="5" t="s">
        <v>8782</v>
      </c>
      <c r="C3798" s="5" t="s">
        <v>28</v>
      </c>
      <c r="D3798" s="5" t="s">
        <v>29</v>
      </c>
      <c r="E3798" s="5" t="s">
        <v>471</v>
      </c>
      <c r="F3798" s="9">
        <v>51</v>
      </c>
      <c r="G3798" s="9">
        <v>606</v>
      </c>
      <c r="H3798" s="5" t="s">
        <v>20</v>
      </c>
      <c r="I3798" s="5" t="s">
        <v>8783</v>
      </c>
      <c r="J3798" s="12" t="str">
        <f>HYPERLINK("https://www.boe.es/gazeta/dias/1807/06/16/pdfs/GMD-1807-51.pdf#page=8","Abrir facsímil")</f>
        <v>Abrir facsímil</v>
      </c>
      <c r="K3798" s="15" t="s">
        <v>22</v>
      </c>
    </row>
    <row r="3799" spans="1:11" ht="42" customHeight="1">
      <c r="A3799" s="4" t="s">
        <v>8784</v>
      </c>
      <c r="B3799" s="5" t="s">
        <v>8785</v>
      </c>
      <c r="C3799" s="5" t="s">
        <v>34</v>
      </c>
      <c r="D3799" s="5" t="s">
        <v>35</v>
      </c>
      <c r="E3799" s="5" t="s">
        <v>301</v>
      </c>
      <c r="F3799" s="9">
        <v>89</v>
      </c>
      <c r="G3799" s="9">
        <v>1030</v>
      </c>
      <c r="H3799" s="5" t="s">
        <v>20</v>
      </c>
      <c r="I3799" s="5" t="s">
        <v>8786</v>
      </c>
      <c r="J3799" s="12" t="str">
        <f>HYPERLINK("https://www.boe.es/gazeta/dias/1807/10/02/pdfs/GMD-1807-89.pdf#page=10","Abrir facsímil")</f>
        <v>Abrir facsímil</v>
      </c>
      <c r="K3799" s="15" t="s">
        <v>22</v>
      </c>
    </row>
    <row r="3800" spans="1:11" ht="42" customHeight="1">
      <c r="A3800" s="4" t="s">
        <v>8787</v>
      </c>
      <c r="B3800" s="5" t="s">
        <v>8788</v>
      </c>
      <c r="C3800" s="5" t="s">
        <v>89</v>
      </c>
      <c r="D3800" s="5" t="s">
        <v>90</v>
      </c>
      <c r="E3800" s="5" t="s">
        <v>309</v>
      </c>
      <c r="F3800" s="9">
        <v>107</v>
      </c>
      <c r="G3800" s="9">
        <v>1249</v>
      </c>
      <c r="H3800" s="5" t="s">
        <v>20</v>
      </c>
      <c r="I3800" s="5" t="s">
        <v>8789</v>
      </c>
      <c r="J3800" s="12" t="str">
        <f>HYPERLINK("https://www.boe.es/gazeta/dias/1807/12/01/pdfs/GMD-1807-107.pdf#page=9","Abrir facsímil")</f>
        <v>Abrir facsímil</v>
      </c>
      <c r="K3800" s="15" t="s">
        <v>22</v>
      </c>
    </row>
    <row r="3801" spans="1:11" ht="42" customHeight="1">
      <c r="A3801" s="4" t="s">
        <v>8790</v>
      </c>
      <c r="B3801" s="5" t="s">
        <v>8791</v>
      </c>
      <c r="C3801" s="5" t="s">
        <v>17</v>
      </c>
      <c r="D3801" s="5" t="s">
        <v>18</v>
      </c>
      <c r="E3801" s="5" t="s">
        <v>46</v>
      </c>
      <c r="F3801" s="9">
        <v>78</v>
      </c>
      <c r="G3801" s="9">
        <v>907</v>
      </c>
      <c r="H3801" s="5" t="s">
        <v>20</v>
      </c>
      <c r="I3801" s="5" t="s">
        <v>8792</v>
      </c>
      <c r="J3801" s="12" t="str">
        <f>HYPERLINK("https://www.boe.es/gazeta/dias/1807/09/01/pdfs/GMD-1807-78.pdf#page=11","Abrir facsímil")</f>
        <v>Abrir facsímil</v>
      </c>
      <c r="K3801" s="15" t="s">
        <v>22</v>
      </c>
    </row>
    <row r="3802" spans="1:11" ht="42" customHeight="1">
      <c r="A3802" s="4" t="s">
        <v>8793</v>
      </c>
      <c r="B3802" s="5" t="s">
        <v>8794</v>
      </c>
      <c r="C3802" s="5" t="s">
        <v>28</v>
      </c>
      <c r="D3802" s="5" t="s">
        <v>29</v>
      </c>
      <c r="E3802" s="5" t="s">
        <v>94</v>
      </c>
      <c r="F3802" s="9">
        <v>22</v>
      </c>
      <c r="G3802" s="9">
        <v>255</v>
      </c>
      <c r="H3802" s="5" t="s">
        <v>20</v>
      </c>
      <c r="I3802" s="5" t="s">
        <v>8795</v>
      </c>
      <c r="J3802" s="12" t="str">
        <f>HYPERLINK("https://www.boe.es/gazeta/dias/1807/03/06/pdfs/GMD-1807-22.pdf#page=7","Abrir facsímil")</f>
        <v>Abrir facsímil</v>
      </c>
      <c r="K3802" s="15" t="s">
        <v>22</v>
      </c>
    </row>
    <row r="3803" spans="1:11" ht="42" customHeight="1">
      <c r="A3803" s="4" t="s">
        <v>8796</v>
      </c>
      <c r="B3803" s="5" t="s">
        <v>8797</v>
      </c>
      <c r="C3803" s="5" t="s">
        <v>2383</v>
      </c>
      <c r="D3803" s="5" t="s">
        <v>2384</v>
      </c>
      <c r="E3803" s="5" t="s">
        <v>561</v>
      </c>
      <c r="F3803" s="9">
        <v>44</v>
      </c>
      <c r="G3803" s="9" t="s">
        <v>72</v>
      </c>
      <c r="H3803" s="5" t="s">
        <v>20</v>
      </c>
      <c r="I3803" s="5" t="s">
        <v>8798</v>
      </c>
      <c r="J3803" s="12" t="str">
        <f>HYPERLINK("https://www.boe.es/gazeta/dias/1807/05/22/pdfs/GMD-C-1807-44.pdf#page=1","Abrir facsímil")</f>
        <v>Abrir facsímil</v>
      </c>
      <c r="K3803" s="15" t="s">
        <v>22</v>
      </c>
    </row>
    <row r="3804" spans="1:11" ht="42" customHeight="1">
      <c r="A3804" s="4" t="s">
        <v>8799</v>
      </c>
      <c r="B3804" s="5" t="s">
        <v>8800</v>
      </c>
      <c r="C3804" s="5" t="s">
        <v>89</v>
      </c>
      <c r="D3804" s="5" t="s">
        <v>90</v>
      </c>
      <c r="E3804" s="5" t="s">
        <v>929</v>
      </c>
      <c r="F3804" s="9">
        <v>85</v>
      </c>
      <c r="G3804" s="9">
        <v>995</v>
      </c>
      <c r="H3804" s="5" t="s">
        <v>20</v>
      </c>
      <c r="I3804" s="5" t="s">
        <v>8801</v>
      </c>
      <c r="J3804" s="12" t="str">
        <f>HYPERLINK("https://www.boe.es/gazeta/dias/1807/09/25/pdfs/GMD-1807-85.pdf#page=11","Abrir facsímil")</f>
        <v>Abrir facsímil</v>
      </c>
      <c r="K3804" s="15" t="s">
        <v>22</v>
      </c>
    </row>
    <row r="3805" spans="1:11" ht="42" customHeight="1">
      <c r="A3805" s="4" t="s">
        <v>8802</v>
      </c>
      <c r="B3805" s="5" t="s">
        <v>8803</v>
      </c>
      <c r="C3805" s="5" t="s">
        <v>24</v>
      </c>
      <c r="D3805" s="5" t="s">
        <v>18</v>
      </c>
      <c r="E3805" s="5" t="s">
        <v>91</v>
      </c>
      <c r="F3805" s="9">
        <v>109</v>
      </c>
      <c r="G3805" s="9">
        <v>1273</v>
      </c>
      <c r="H3805" s="5" t="s">
        <v>20</v>
      </c>
      <c r="I3805" s="5" t="s">
        <v>8804</v>
      </c>
      <c r="J3805" s="12" t="str">
        <f>HYPERLINK("https://www.boe.es/gazeta/dias/1807/12/08/pdfs/GMD-1807-109.pdf#page=9","Abrir facsímil")</f>
        <v>Abrir facsímil</v>
      </c>
      <c r="K3805" s="15" t="s">
        <v>22</v>
      </c>
    </row>
    <row r="3806" spans="1:11" ht="42" customHeight="1">
      <c r="A3806" s="4" t="s">
        <v>8805</v>
      </c>
      <c r="B3806" s="5" t="s">
        <v>8806</v>
      </c>
      <c r="C3806" s="5" t="s">
        <v>34</v>
      </c>
      <c r="D3806" s="5" t="s">
        <v>35</v>
      </c>
      <c r="E3806" s="5" t="s">
        <v>275</v>
      </c>
      <c r="F3806" s="9">
        <v>104</v>
      </c>
      <c r="G3806" s="9">
        <v>1213</v>
      </c>
      <c r="H3806" s="5" t="s">
        <v>20</v>
      </c>
      <c r="I3806" s="5" t="s">
        <v>8807</v>
      </c>
      <c r="J3806" s="12" t="str">
        <f>HYPERLINK("https://www.boe.es/gazeta/dias/1807/11/24/pdfs/GMD-1807-104.pdf#page=9","Abrir facsímil")</f>
        <v>Abrir facsímil</v>
      </c>
      <c r="K3806" s="15" t="s">
        <v>22</v>
      </c>
    </row>
    <row r="3807" spans="1:11" ht="42" customHeight="1">
      <c r="A3807" s="4" t="s">
        <v>8805</v>
      </c>
      <c r="B3807" s="5" t="s">
        <v>8806</v>
      </c>
      <c r="C3807" s="5" t="s">
        <v>24</v>
      </c>
      <c r="D3807" s="5" t="s">
        <v>18</v>
      </c>
      <c r="E3807" s="5" t="s">
        <v>91</v>
      </c>
      <c r="F3807" s="9">
        <v>109</v>
      </c>
      <c r="G3807" s="9">
        <v>1273</v>
      </c>
      <c r="H3807" s="5" t="s">
        <v>20</v>
      </c>
      <c r="I3807" s="5" t="s">
        <v>8808</v>
      </c>
      <c r="J3807" s="12" t="str">
        <f>HYPERLINK("https://www.boe.es/gazeta/dias/1807/12/08/pdfs/GMD-1807-109.pdf#page=9","Abrir facsímil")</f>
        <v>Abrir facsímil</v>
      </c>
      <c r="K3807" s="15" t="s">
        <v>22</v>
      </c>
    </row>
    <row r="3808" spans="1:11" ht="42" customHeight="1">
      <c r="A3808" s="4" t="s">
        <v>8809</v>
      </c>
      <c r="B3808" s="5" t="s">
        <v>8810</v>
      </c>
      <c r="C3808" s="5" t="s">
        <v>69</v>
      </c>
      <c r="D3808" s="5" t="s">
        <v>70</v>
      </c>
      <c r="E3808" s="5" t="s">
        <v>71</v>
      </c>
      <c r="F3808" s="9">
        <v>35</v>
      </c>
      <c r="G3808" s="9" t="s">
        <v>1485</v>
      </c>
      <c r="H3808" s="5" t="s">
        <v>20</v>
      </c>
      <c r="I3808" s="5" t="s">
        <v>8811</v>
      </c>
      <c r="J3808" s="12" t="str">
        <f>HYPERLINK("https://www.boe.es/gazeta/dias/1807/04/21/pdfs/C00001-00004.pdf#page=4","Abrir facsímil")</f>
        <v>Abrir facsímil</v>
      </c>
      <c r="K3808" s="15" t="s">
        <v>22</v>
      </c>
    </row>
    <row r="3809" spans="1:11" ht="42" customHeight="1">
      <c r="A3809" s="4" t="s">
        <v>8812</v>
      </c>
      <c r="B3809" s="5" t="s">
        <v>8813</v>
      </c>
      <c r="C3809" s="5" t="s">
        <v>49</v>
      </c>
      <c r="D3809" s="5" t="s">
        <v>50</v>
      </c>
      <c r="E3809" s="5" t="s">
        <v>350</v>
      </c>
      <c r="F3809" s="9">
        <v>112</v>
      </c>
      <c r="G3809" s="9">
        <v>1302</v>
      </c>
      <c r="H3809" s="5" t="s">
        <v>20</v>
      </c>
      <c r="I3809" s="5" t="s">
        <v>8814</v>
      </c>
      <c r="J3809" s="12" t="str">
        <f>HYPERLINK("https://www.boe.es/gazeta/dias/1807/12/18/pdfs/GMD-1807-112.pdf#page=2","Abrir facsímil")</f>
        <v>Abrir facsímil</v>
      </c>
      <c r="K3809" s="15" t="s">
        <v>22</v>
      </c>
    </row>
    <row r="3810" spans="1:11" ht="42" customHeight="1">
      <c r="A3810" s="4" t="s">
        <v>8815</v>
      </c>
      <c r="B3810" s="5" t="s">
        <v>8816</v>
      </c>
      <c r="C3810" s="5" t="s">
        <v>28</v>
      </c>
      <c r="D3810" s="5" t="s">
        <v>29</v>
      </c>
      <c r="E3810" s="5" t="s">
        <v>414</v>
      </c>
      <c r="F3810" s="9">
        <v>40</v>
      </c>
      <c r="G3810" s="9">
        <v>481</v>
      </c>
      <c r="H3810" s="5" t="s">
        <v>20</v>
      </c>
      <c r="I3810" s="5" t="s">
        <v>8817</v>
      </c>
      <c r="J3810" s="12" t="str">
        <f>HYPERLINK("https://www.boe.es/gazeta/dias/1807/05/08/pdfs/GMD-1807-40.pdf#page=11","Abrir facsímil")</f>
        <v>Abrir facsímil</v>
      </c>
      <c r="K3810" s="15" t="s">
        <v>22</v>
      </c>
    </row>
    <row r="3811" spans="1:11" ht="42" customHeight="1">
      <c r="A3811" s="4" t="s">
        <v>8818</v>
      </c>
      <c r="B3811" s="5" t="s">
        <v>8818</v>
      </c>
      <c r="C3811" s="5" t="s">
        <v>89</v>
      </c>
      <c r="D3811" s="5" t="s">
        <v>90</v>
      </c>
      <c r="E3811" s="5" t="s">
        <v>53</v>
      </c>
      <c r="F3811" s="9">
        <v>64</v>
      </c>
      <c r="G3811" s="9">
        <v>739</v>
      </c>
      <c r="H3811" s="5" t="s">
        <v>20</v>
      </c>
      <c r="I3811" s="5" t="s">
        <v>8819</v>
      </c>
      <c r="J3811" s="12" t="str">
        <f>HYPERLINK("https://www.boe.es/gazeta/dias/1807/07/21/pdfs/GMD-1807-64.pdf#page=1","Abrir facsímil")</f>
        <v>Abrir facsímil</v>
      </c>
      <c r="K3811" s="15" t="s">
        <v>22</v>
      </c>
    </row>
    <row r="3812" spans="1:11" ht="42" customHeight="1">
      <c r="A3812" s="4" t="s">
        <v>8820</v>
      </c>
      <c r="B3812" s="5" t="s">
        <v>8821</v>
      </c>
      <c r="C3812" s="5" t="s">
        <v>17</v>
      </c>
      <c r="D3812" s="5" t="s">
        <v>18</v>
      </c>
      <c r="E3812" s="5" t="s">
        <v>393</v>
      </c>
      <c r="F3812" s="9">
        <v>15</v>
      </c>
      <c r="G3812" s="9">
        <v>172</v>
      </c>
      <c r="H3812" s="5" t="s">
        <v>20</v>
      </c>
      <c r="I3812" s="5" t="s">
        <v>8822</v>
      </c>
      <c r="J3812" s="12" t="str">
        <f>HYPERLINK("https://www.boe.es/gazeta/dias/1807/02/13/pdfs/GMD-1807-15.pdf#page=8","Abrir facsímil")</f>
        <v>Abrir facsímil</v>
      </c>
      <c r="K3812" s="15" t="s">
        <v>22</v>
      </c>
    </row>
    <row r="3813" spans="1:11" ht="42" customHeight="1">
      <c r="A3813" s="4" t="s">
        <v>8823</v>
      </c>
      <c r="B3813" s="5" t="s">
        <v>8824</v>
      </c>
      <c r="C3813" s="5" t="s">
        <v>28</v>
      </c>
      <c r="D3813" s="5" t="s">
        <v>29</v>
      </c>
      <c r="E3813" s="5" t="s">
        <v>149</v>
      </c>
      <c r="F3813" s="9">
        <v>38</v>
      </c>
      <c r="G3813" s="9">
        <v>454</v>
      </c>
      <c r="H3813" s="5" t="s">
        <v>20</v>
      </c>
      <c r="I3813" s="5" t="s">
        <v>8825</v>
      </c>
      <c r="J3813" s="12" t="str">
        <f>HYPERLINK("https://www.boe.es/gazeta/dias/1807/05/01/pdfs/GMD-1807-38.pdf#page=10","Abrir facsímil")</f>
        <v>Abrir facsímil</v>
      </c>
      <c r="K3813" s="15" t="s">
        <v>22</v>
      </c>
    </row>
    <row r="3814" spans="1:11" ht="42" customHeight="1">
      <c r="A3814" s="4" t="s">
        <v>8826</v>
      </c>
      <c r="B3814" s="5" t="s">
        <v>8827</v>
      </c>
      <c r="C3814" s="5" t="s">
        <v>34</v>
      </c>
      <c r="D3814" s="5" t="s">
        <v>35</v>
      </c>
      <c r="E3814" s="5" t="s">
        <v>120</v>
      </c>
      <c r="F3814" s="9">
        <v>10</v>
      </c>
      <c r="G3814" s="9">
        <v>116</v>
      </c>
      <c r="H3814" s="5" t="s">
        <v>20</v>
      </c>
      <c r="I3814" s="5" t="s">
        <v>8828</v>
      </c>
      <c r="J3814" s="12" t="str">
        <f>HYPERLINK("https://www.boe.es/gazeta/dias/1807/01/27/pdfs/GMD-1807-10.pdf#page=12","Abrir facsímil")</f>
        <v>Abrir facsímil</v>
      </c>
      <c r="K3814" s="15" t="s">
        <v>22</v>
      </c>
    </row>
    <row r="3815" spans="1:11" ht="42" customHeight="1">
      <c r="A3815" s="4" t="s">
        <v>8829</v>
      </c>
      <c r="B3815" s="5" t="s">
        <v>8829</v>
      </c>
      <c r="C3815" s="5" t="s">
        <v>34</v>
      </c>
      <c r="D3815" s="5" t="s">
        <v>35</v>
      </c>
      <c r="E3815" s="5" t="s">
        <v>461</v>
      </c>
      <c r="F3815" s="9">
        <v>99</v>
      </c>
      <c r="G3815" s="9">
        <v>1147</v>
      </c>
      <c r="H3815" s="5" t="s">
        <v>20</v>
      </c>
      <c r="I3815" s="5" t="s">
        <v>8830</v>
      </c>
      <c r="J3815" s="12" t="str">
        <f>HYPERLINK("https://www.boe.es/gazeta/dias/1807/11/06/pdfs/GMD-1807-99.pdf#page=3","Abrir facsímil")</f>
        <v>Abrir facsímil</v>
      </c>
      <c r="K3815" s="15" t="s">
        <v>22</v>
      </c>
    </row>
    <row r="3816" spans="1:11" ht="42" customHeight="1">
      <c r="A3816" s="4" t="s">
        <v>8831</v>
      </c>
      <c r="B3816" s="5" t="s">
        <v>8832</v>
      </c>
      <c r="C3816" s="5" t="s">
        <v>34</v>
      </c>
      <c r="D3816" s="5" t="s">
        <v>35</v>
      </c>
      <c r="E3816" s="5" t="s">
        <v>19</v>
      </c>
      <c r="F3816" s="9">
        <v>41</v>
      </c>
      <c r="G3816" s="9">
        <v>490</v>
      </c>
      <c r="H3816" s="5" t="s">
        <v>20</v>
      </c>
      <c r="I3816" s="5" t="s">
        <v>8833</v>
      </c>
      <c r="J3816" s="12" t="str">
        <f>HYPERLINK("https://www.boe.es/gazeta/dias/1807/05/12/pdfs/GMD-1807-41.pdf#page=8","Abrir facsímil")</f>
        <v>Abrir facsímil</v>
      </c>
      <c r="K3816" s="15" t="s">
        <v>22</v>
      </c>
    </row>
    <row r="3817" spans="1:11" ht="42" customHeight="1">
      <c r="A3817" s="4" t="s">
        <v>8834</v>
      </c>
      <c r="B3817" s="5" t="s">
        <v>8835</v>
      </c>
      <c r="C3817" s="5" t="s">
        <v>89</v>
      </c>
      <c r="D3817" s="5" t="s">
        <v>90</v>
      </c>
      <c r="E3817" s="5" t="s">
        <v>156</v>
      </c>
      <c r="F3817" s="9">
        <v>74</v>
      </c>
      <c r="G3817" s="9">
        <v>860</v>
      </c>
      <c r="H3817" s="5" t="s">
        <v>20</v>
      </c>
      <c r="I3817" s="5" t="s">
        <v>8836</v>
      </c>
      <c r="J3817" s="12" t="str">
        <f>HYPERLINK("https://www.boe.es/gazeta/dias/1807/08/18/pdfs/GMD-1807-74.pdf#page=12","Abrir facsímil")</f>
        <v>Abrir facsímil</v>
      </c>
      <c r="K3817" s="15" t="s">
        <v>22</v>
      </c>
    </row>
    <row r="3818" spans="1:11" ht="42" customHeight="1">
      <c r="A3818" s="4" t="s">
        <v>8837</v>
      </c>
      <c r="B3818" s="5" t="s">
        <v>8838</v>
      </c>
      <c r="C3818" s="5" t="s">
        <v>28</v>
      </c>
      <c r="D3818" s="5" t="s">
        <v>29</v>
      </c>
      <c r="E3818" s="5" t="s">
        <v>572</v>
      </c>
      <c r="F3818" s="9">
        <v>14</v>
      </c>
      <c r="G3818" s="9">
        <v>163</v>
      </c>
      <c r="H3818" s="5" t="s">
        <v>20</v>
      </c>
      <c r="I3818" s="5" t="s">
        <v>8839</v>
      </c>
      <c r="J3818" s="12" t="str">
        <f>HYPERLINK("https://www.boe.es/gazeta/dias/1807/02/10/pdfs/GMD-1807-14.pdf#page=11","Abrir facsímil")</f>
        <v>Abrir facsímil</v>
      </c>
      <c r="K3818" s="15" t="s">
        <v>22</v>
      </c>
    </row>
    <row r="3819" spans="1:11" ht="42" customHeight="1">
      <c r="A3819" s="4" t="s">
        <v>8840</v>
      </c>
      <c r="B3819" s="5" t="s">
        <v>8841</v>
      </c>
      <c r="C3819" s="5" t="s">
        <v>34</v>
      </c>
      <c r="D3819" s="5" t="s">
        <v>35</v>
      </c>
      <c r="E3819" s="5" t="s">
        <v>183</v>
      </c>
      <c r="F3819" s="9">
        <v>1</v>
      </c>
      <c r="G3819" s="9">
        <v>11</v>
      </c>
      <c r="H3819" s="5" t="s">
        <v>20</v>
      </c>
      <c r="I3819" s="5" t="s">
        <v>8842</v>
      </c>
      <c r="J3819" s="12" t="str">
        <f>HYPERLINK("https://www.boe.es/gazeta/dias/1807/01/02/pdfs/GMD-1807-1.pdf#page=11","Abrir facsímil")</f>
        <v>Abrir facsímil</v>
      </c>
      <c r="K3819" s="15" t="s">
        <v>22</v>
      </c>
    </row>
    <row r="3820" spans="1:11" ht="42" customHeight="1">
      <c r="A3820" s="4" t="s">
        <v>8843</v>
      </c>
      <c r="B3820" s="5" t="s">
        <v>8844</v>
      </c>
      <c r="C3820" s="5" t="s">
        <v>28</v>
      </c>
      <c r="D3820" s="5" t="s">
        <v>29</v>
      </c>
      <c r="E3820" s="5" t="s">
        <v>76</v>
      </c>
      <c r="F3820" s="9">
        <v>7</v>
      </c>
      <c r="G3820" s="9">
        <v>82</v>
      </c>
      <c r="H3820" s="5" t="s">
        <v>20</v>
      </c>
      <c r="I3820" s="5" t="s">
        <v>8845</v>
      </c>
      <c r="J3820" s="12" t="str">
        <f>HYPERLINK("https://www.boe.es/gazeta/dias/1807/01/20/pdfs/GMD-1807-7.pdf#page=14","Abrir facsímil")</f>
        <v>Abrir facsímil</v>
      </c>
      <c r="K3820" s="15" t="s">
        <v>22</v>
      </c>
    </row>
    <row r="3821" spans="1:11" ht="42" customHeight="1">
      <c r="A3821" s="4" t="s">
        <v>8846</v>
      </c>
      <c r="B3821" s="5" t="s">
        <v>8847</v>
      </c>
      <c r="C3821" s="5" t="s">
        <v>34</v>
      </c>
      <c r="D3821" s="5" t="s">
        <v>35</v>
      </c>
      <c r="E3821" s="5" t="s">
        <v>114</v>
      </c>
      <c r="F3821" s="9">
        <v>46</v>
      </c>
      <c r="G3821" s="9">
        <v>549</v>
      </c>
      <c r="H3821" s="5" t="s">
        <v>20</v>
      </c>
      <c r="I3821" s="5" t="s">
        <v>8848</v>
      </c>
      <c r="J3821" s="12" t="str">
        <f>HYPERLINK("https://www.boe.es/gazeta/dias/1807/05/29/pdfs/GMD-1807-46.pdf#page=7","Abrir facsímil")</f>
        <v>Abrir facsímil</v>
      </c>
      <c r="K3821" s="15" t="s">
        <v>22</v>
      </c>
    </row>
    <row r="3822" spans="1:11" ht="42" customHeight="1">
      <c r="A3822" s="4" t="s">
        <v>8849</v>
      </c>
      <c r="B3822" s="5" t="s">
        <v>8850</v>
      </c>
      <c r="C3822" s="5" t="s">
        <v>34</v>
      </c>
      <c r="D3822" s="5" t="s">
        <v>35</v>
      </c>
      <c r="E3822" s="5" t="s">
        <v>319</v>
      </c>
      <c r="F3822" s="9">
        <v>54</v>
      </c>
      <c r="G3822" s="9">
        <v>645</v>
      </c>
      <c r="H3822" s="5" t="s">
        <v>20</v>
      </c>
      <c r="I3822" s="5" t="s">
        <v>8851</v>
      </c>
      <c r="J3822" s="12" t="str">
        <f>HYPERLINK("https://www.boe.es/gazeta/dias/1807/06/26/pdfs/GMD-1807-54.pdf#page=7","Abrir facsímil")</f>
        <v>Abrir facsímil</v>
      </c>
      <c r="K3822" s="15" t="s">
        <v>22</v>
      </c>
    </row>
    <row r="3823" spans="1:11" ht="42" customHeight="1">
      <c r="A3823" s="4" t="s">
        <v>8852</v>
      </c>
      <c r="B3823" s="5" t="s">
        <v>8853</v>
      </c>
      <c r="C3823" s="5" t="s">
        <v>28</v>
      </c>
      <c r="D3823" s="5" t="s">
        <v>29</v>
      </c>
      <c r="E3823" s="5" t="s">
        <v>346</v>
      </c>
      <c r="F3823" s="9">
        <v>21</v>
      </c>
      <c r="G3823" s="9">
        <v>245</v>
      </c>
      <c r="H3823" s="5" t="s">
        <v>20</v>
      </c>
      <c r="I3823" s="5" t="s">
        <v>8854</v>
      </c>
      <c r="J3823" s="12" t="str">
        <f>HYPERLINK("https://www.boe.es/gazeta/dias/1807/03/03/pdfs/GMD-1807-21.pdf#page=9","Abrir facsímil")</f>
        <v>Abrir facsímil</v>
      </c>
      <c r="K3823" s="15" t="s">
        <v>22</v>
      </c>
    </row>
    <row r="3824" spans="1:11" ht="42" customHeight="1">
      <c r="A3824" s="4" t="s">
        <v>8855</v>
      </c>
      <c r="B3824" s="5" t="s">
        <v>8856</v>
      </c>
      <c r="C3824" s="5" t="s">
        <v>17</v>
      </c>
      <c r="D3824" s="5" t="s">
        <v>18</v>
      </c>
      <c r="E3824" s="5" t="s">
        <v>51</v>
      </c>
      <c r="F3824" s="9">
        <v>62</v>
      </c>
      <c r="G3824" s="9">
        <v>733</v>
      </c>
      <c r="H3824" s="5" t="s">
        <v>20</v>
      </c>
      <c r="I3824" s="5" t="s">
        <v>8857</v>
      </c>
      <c r="J3824" s="12" t="str">
        <f>HYPERLINK("https://www.boe.es/gazeta/dias/1807/07/17/pdfs/GMD-1807-62.pdf#page=7","Abrir facsímil")</f>
        <v>Abrir facsímil</v>
      </c>
      <c r="K3824" s="15" t="s">
        <v>22</v>
      </c>
    </row>
    <row r="3825" spans="1:11" ht="42" customHeight="1">
      <c r="A3825" s="4" t="s">
        <v>8858</v>
      </c>
      <c r="B3825" s="5" t="s">
        <v>8859</v>
      </c>
      <c r="C3825" s="5" t="s">
        <v>17</v>
      </c>
      <c r="D3825" s="5" t="s">
        <v>18</v>
      </c>
      <c r="E3825" s="5" t="s">
        <v>83</v>
      </c>
      <c r="F3825" s="9">
        <v>50</v>
      </c>
      <c r="G3825" s="9">
        <v>595</v>
      </c>
      <c r="H3825" s="5" t="s">
        <v>20</v>
      </c>
      <c r="I3825" s="5" t="s">
        <v>8860</v>
      </c>
      <c r="J3825" s="12" t="str">
        <f>HYPERLINK("https://www.boe.es/gazeta/dias/1807/06/12/pdfs/GMD-1807-50.pdf#page=9","Abrir facsímil")</f>
        <v>Abrir facsímil</v>
      </c>
      <c r="K3825" s="15" t="s">
        <v>22</v>
      </c>
    </row>
    <row r="3826" spans="1:11" ht="42" customHeight="1">
      <c r="A3826" s="4" t="s">
        <v>8861</v>
      </c>
      <c r="B3826" s="5" t="s">
        <v>8862</v>
      </c>
      <c r="C3826" s="5" t="s">
        <v>28</v>
      </c>
      <c r="D3826" s="5" t="s">
        <v>29</v>
      </c>
      <c r="E3826" s="5" t="s">
        <v>426</v>
      </c>
      <c r="F3826" s="9">
        <v>93</v>
      </c>
      <c r="G3826" s="9">
        <v>1080</v>
      </c>
      <c r="H3826" s="5" t="s">
        <v>20</v>
      </c>
      <c r="I3826" s="5" t="s">
        <v>8863</v>
      </c>
      <c r="J3826" s="12" t="str">
        <f>HYPERLINK("https://www.boe.es/gazeta/dias/1807/10/16/pdfs/GMD-1807-93.pdf#page=8","Abrir facsímil")</f>
        <v>Abrir facsímil</v>
      </c>
      <c r="K3826" s="15" t="s">
        <v>22</v>
      </c>
    </row>
    <row r="3827" spans="1:11" ht="42" customHeight="1">
      <c r="A3827" s="4" t="s">
        <v>8864</v>
      </c>
      <c r="B3827" s="5" t="s">
        <v>8865</v>
      </c>
      <c r="C3827" s="5" t="s">
        <v>34</v>
      </c>
      <c r="D3827" s="5" t="s">
        <v>35</v>
      </c>
      <c r="E3827" s="5" t="s">
        <v>190</v>
      </c>
      <c r="F3827" s="9">
        <v>37</v>
      </c>
      <c r="G3827" s="9">
        <v>440</v>
      </c>
      <c r="H3827" s="5" t="s">
        <v>20</v>
      </c>
      <c r="I3827" s="5" t="s">
        <v>8866</v>
      </c>
      <c r="J3827" s="12" t="str">
        <f>HYPERLINK("https://www.boe.es/gazeta/dias/1807/04/28/pdfs/GMD-1807-37.pdf#page=8","Abrir facsímil")</f>
        <v>Abrir facsímil</v>
      </c>
      <c r="K3827" s="15" t="s">
        <v>22</v>
      </c>
    </row>
    <row r="3828" spans="1:11" ht="42" customHeight="1">
      <c r="A3828" s="4" t="s">
        <v>8867</v>
      </c>
      <c r="B3828" s="5" t="s">
        <v>8868</v>
      </c>
      <c r="C3828" s="5" t="s">
        <v>34</v>
      </c>
      <c r="D3828" s="5" t="s">
        <v>35</v>
      </c>
      <c r="E3828" s="5" t="s">
        <v>301</v>
      </c>
      <c r="F3828" s="9">
        <v>89</v>
      </c>
      <c r="G3828" s="9">
        <v>1030</v>
      </c>
      <c r="H3828" s="5" t="s">
        <v>20</v>
      </c>
      <c r="I3828" s="5" t="s">
        <v>8869</v>
      </c>
      <c r="J3828" s="12" t="str">
        <f>HYPERLINK("https://www.boe.es/gazeta/dias/1807/10/02/pdfs/GMD-1807-89.pdf#page=10","Abrir facsímil")</f>
        <v>Abrir facsímil</v>
      </c>
      <c r="K3828" s="15" t="s">
        <v>22</v>
      </c>
    </row>
    <row r="3829" spans="1:11" ht="42" customHeight="1">
      <c r="A3829" s="4" t="s">
        <v>8870</v>
      </c>
      <c r="B3829" s="5" t="s">
        <v>8871</v>
      </c>
      <c r="C3829" s="5" t="s">
        <v>34</v>
      </c>
      <c r="D3829" s="5" t="s">
        <v>35</v>
      </c>
      <c r="E3829" s="5" t="s">
        <v>120</v>
      </c>
      <c r="F3829" s="9">
        <v>10</v>
      </c>
      <c r="G3829" s="9">
        <v>116</v>
      </c>
      <c r="H3829" s="5" t="s">
        <v>20</v>
      </c>
      <c r="I3829" s="5" t="s">
        <v>8872</v>
      </c>
      <c r="J3829" s="12" t="str">
        <f>HYPERLINK("https://www.boe.es/gazeta/dias/1807/01/27/pdfs/GMD-1807-10.pdf#page=12","Abrir facsímil")</f>
        <v>Abrir facsímil</v>
      </c>
      <c r="K3829" s="15" t="s">
        <v>22</v>
      </c>
    </row>
    <row r="3830" spans="1:11" ht="42" customHeight="1">
      <c r="A3830" s="4" t="s">
        <v>8873</v>
      </c>
      <c r="B3830" s="5" t="s">
        <v>8874</v>
      </c>
      <c r="C3830" s="5" t="s">
        <v>89</v>
      </c>
      <c r="D3830" s="5" t="s">
        <v>90</v>
      </c>
      <c r="E3830" s="5" t="s">
        <v>418</v>
      </c>
      <c r="F3830" s="9">
        <v>4</v>
      </c>
      <c r="G3830" s="9">
        <v>43</v>
      </c>
      <c r="H3830" s="5" t="s">
        <v>20</v>
      </c>
      <c r="I3830" s="5" t="s">
        <v>8875</v>
      </c>
      <c r="J3830" s="12" t="str">
        <f>HYPERLINK("https://www.boe.es/gazeta/dias/1807/01/13/pdfs/GMD-1807-4.pdf#page=11","Abrir facsímil")</f>
        <v>Abrir facsímil</v>
      </c>
      <c r="K3830" s="15" t="s">
        <v>22</v>
      </c>
    </row>
    <row r="3831" spans="1:11" ht="42" customHeight="1">
      <c r="A3831" s="4" t="s">
        <v>8876</v>
      </c>
      <c r="B3831" s="5" t="s">
        <v>8877</v>
      </c>
      <c r="C3831" s="5" t="s">
        <v>34</v>
      </c>
      <c r="D3831" s="5" t="s">
        <v>35</v>
      </c>
      <c r="E3831" s="5" t="s">
        <v>1177</v>
      </c>
      <c r="F3831" s="9">
        <v>101</v>
      </c>
      <c r="G3831" s="9">
        <v>1178</v>
      </c>
      <c r="H3831" s="5" t="s">
        <v>20</v>
      </c>
      <c r="I3831" s="5" t="s">
        <v>8878</v>
      </c>
      <c r="J3831" s="12" t="str">
        <f>HYPERLINK("https://www.boe.es/gazeta/dias/1807/11/13/pdfs/GMD-1807-101.pdf#page=10","Abrir facsímil")</f>
        <v>Abrir facsímil</v>
      </c>
      <c r="K3831" s="15" t="s">
        <v>22</v>
      </c>
    </row>
    <row r="3832" spans="1:11" ht="42" customHeight="1">
      <c r="A3832" s="4" t="s">
        <v>8879</v>
      </c>
      <c r="B3832" s="5" t="s">
        <v>8879</v>
      </c>
      <c r="C3832" s="5" t="s">
        <v>34</v>
      </c>
      <c r="D3832" s="5" t="s">
        <v>35</v>
      </c>
      <c r="E3832" s="5" t="s">
        <v>19</v>
      </c>
      <c r="F3832" s="9">
        <v>41</v>
      </c>
      <c r="G3832" s="9">
        <v>489</v>
      </c>
      <c r="H3832" s="5" t="s">
        <v>20</v>
      </c>
      <c r="I3832" s="5" t="s">
        <v>8880</v>
      </c>
      <c r="J3832" s="12" t="str">
        <f>HYPERLINK("https://www.boe.es/gazeta/dias/1807/05/12/pdfs/GMD-1807-41.pdf#page=7","Abrir facsímil")</f>
        <v>Abrir facsímil</v>
      </c>
      <c r="K3832" s="15" t="s">
        <v>22</v>
      </c>
    </row>
    <row r="3833" spans="1:11" ht="42" customHeight="1">
      <c r="A3833" s="4" t="s">
        <v>8881</v>
      </c>
      <c r="B3833" s="5" t="s">
        <v>8882</v>
      </c>
      <c r="C3833" s="5" t="s">
        <v>34</v>
      </c>
      <c r="D3833" s="5" t="s">
        <v>35</v>
      </c>
      <c r="E3833" s="5" t="s">
        <v>91</v>
      </c>
      <c r="F3833" s="9">
        <v>109</v>
      </c>
      <c r="G3833" s="9">
        <v>1272</v>
      </c>
      <c r="H3833" s="5" t="s">
        <v>20</v>
      </c>
      <c r="I3833" s="5" t="s">
        <v>8883</v>
      </c>
      <c r="J3833" s="12" t="str">
        <f>HYPERLINK("https://www.boe.es/gazeta/dias/1807/12/08/pdfs/GMD-1807-109.pdf#page=8","Abrir facsímil")</f>
        <v>Abrir facsímil</v>
      </c>
      <c r="K3833" s="15" t="s">
        <v>22</v>
      </c>
    </row>
    <row r="3834" spans="1:11" ht="42" customHeight="1">
      <c r="A3834" s="4" t="s">
        <v>8884</v>
      </c>
      <c r="B3834" s="5" t="s">
        <v>8885</v>
      </c>
      <c r="C3834" s="5" t="s">
        <v>34</v>
      </c>
      <c r="D3834" s="5" t="s">
        <v>35</v>
      </c>
      <c r="E3834" s="5" t="s">
        <v>327</v>
      </c>
      <c r="F3834" s="9">
        <v>108</v>
      </c>
      <c r="G3834" s="9">
        <v>1261</v>
      </c>
      <c r="H3834" s="5" t="s">
        <v>20</v>
      </c>
      <c r="I3834" s="5" t="s">
        <v>8886</v>
      </c>
      <c r="J3834" s="12" t="str">
        <f>HYPERLINK("https://www.boe.es/gazeta/dias/1807/12/04/pdfs/GMD-1807-108.pdf#page=9","Abrir facsímil")</f>
        <v>Abrir facsímil</v>
      </c>
      <c r="K3834" s="15" t="s">
        <v>22</v>
      </c>
    </row>
    <row r="3835" spans="1:11" ht="42" customHeight="1">
      <c r="A3835" s="4" t="s">
        <v>8884</v>
      </c>
      <c r="B3835" s="5" t="s">
        <v>8885</v>
      </c>
      <c r="C3835" s="5" t="s">
        <v>34</v>
      </c>
      <c r="D3835" s="5" t="s">
        <v>35</v>
      </c>
      <c r="E3835" s="5" t="s">
        <v>384</v>
      </c>
      <c r="F3835" s="9">
        <v>111</v>
      </c>
      <c r="G3835" s="9">
        <v>1297</v>
      </c>
      <c r="H3835" s="5" t="s">
        <v>20</v>
      </c>
      <c r="I3835" s="5" t="s">
        <v>8887</v>
      </c>
      <c r="J3835" s="12" t="str">
        <f>HYPERLINK("https://www.boe.es/gazeta/dias/1807/12/15/pdfs/GMD-1807-111.pdf#page=9","Abrir facsímil")</f>
        <v>Abrir facsímil</v>
      </c>
      <c r="K3835" s="15" t="s">
        <v>22</v>
      </c>
    </row>
    <row r="3836" spans="1:11" ht="42" customHeight="1">
      <c r="A3836" s="4" t="s">
        <v>8888</v>
      </c>
      <c r="B3836" s="5" t="s">
        <v>8889</v>
      </c>
      <c r="C3836" s="5" t="s">
        <v>34</v>
      </c>
      <c r="D3836" s="5" t="s">
        <v>35</v>
      </c>
      <c r="E3836" s="5" t="s">
        <v>62</v>
      </c>
      <c r="F3836" s="9">
        <v>68</v>
      </c>
      <c r="G3836" s="9">
        <v>783</v>
      </c>
      <c r="H3836" s="5" t="s">
        <v>20</v>
      </c>
      <c r="I3836" s="5" t="s">
        <v>8890</v>
      </c>
      <c r="J3836" s="12" t="str">
        <f>HYPERLINK("https://www.boe.es/gazeta/dias/1807/07/31/pdfs/GMD-1807-68.pdf#page=7","Abrir facsímil")</f>
        <v>Abrir facsímil</v>
      </c>
      <c r="K3836" s="15" t="s">
        <v>22</v>
      </c>
    </row>
    <row r="3837" spans="1:11" ht="42" customHeight="1">
      <c r="A3837" s="4" t="s">
        <v>8891</v>
      </c>
      <c r="B3837" s="5" t="s">
        <v>8892</v>
      </c>
      <c r="C3837" s="5" t="s">
        <v>34</v>
      </c>
      <c r="D3837" s="5" t="s">
        <v>35</v>
      </c>
      <c r="E3837" s="5" t="s">
        <v>259</v>
      </c>
      <c r="F3837" s="9">
        <v>3</v>
      </c>
      <c r="G3837" s="9">
        <v>27</v>
      </c>
      <c r="H3837" s="5" t="s">
        <v>20</v>
      </c>
      <c r="I3837" s="5" t="s">
        <v>8893</v>
      </c>
      <c r="J3837" s="12" t="str">
        <f>HYPERLINK("https://www.boe.es/gazeta/dias/1807/01/09/pdfs/GMD-1807-3.pdf#page=7","Abrir facsímil")</f>
        <v>Abrir facsímil</v>
      </c>
      <c r="K3837" s="15" t="s">
        <v>22</v>
      </c>
    </row>
    <row r="3838" spans="1:11" ht="42" customHeight="1">
      <c r="A3838" s="4" t="s">
        <v>8894</v>
      </c>
      <c r="B3838" s="5" t="s">
        <v>8895</v>
      </c>
      <c r="C3838" s="5" t="s">
        <v>34</v>
      </c>
      <c r="D3838" s="5" t="s">
        <v>35</v>
      </c>
      <c r="E3838" s="5" t="s">
        <v>305</v>
      </c>
      <c r="F3838" s="9">
        <v>53</v>
      </c>
      <c r="G3838" s="9">
        <v>634</v>
      </c>
      <c r="H3838" s="5" t="s">
        <v>20</v>
      </c>
      <c r="I3838" s="5" t="s">
        <v>8896</v>
      </c>
      <c r="J3838" s="12" t="str">
        <f>HYPERLINK("https://www.boe.es/gazeta/dias/1807/06/23/pdfs/GMD-1807-53.pdf#page=8","Abrir facsímil")</f>
        <v>Abrir facsímil</v>
      </c>
      <c r="K3838" s="15" t="s">
        <v>22</v>
      </c>
    </row>
    <row r="3839" spans="1:11" ht="42" customHeight="1">
      <c r="A3839" s="4" t="s">
        <v>8897</v>
      </c>
      <c r="B3839" s="5" t="s">
        <v>8898</v>
      </c>
      <c r="C3839" s="5" t="s">
        <v>34</v>
      </c>
      <c r="D3839" s="5" t="s">
        <v>35</v>
      </c>
      <c r="E3839" s="5" t="s">
        <v>183</v>
      </c>
      <c r="F3839" s="9">
        <v>1</v>
      </c>
      <c r="G3839" s="9">
        <v>11</v>
      </c>
      <c r="H3839" s="5" t="s">
        <v>20</v>
      </c>
      <c r="I3839" s="5" t="s">
        <v>8899</v>
      </c>
      <c r="J3839" s="12" t="str">
        <f>HYPERLINK("https://www.boe.es/gazeta/dias/1807/01/02/pdfs/GMD-1807-1.pdf#page=11","Abrir facsímil")</f>
        <v>Abrir facsímil</v>
      </c>
      <c r="K3839" s="15" t="s">
        <v>22</v>
      </c>
    </row>
    <row r="3840" spans="1:11" ht="42" customHeight="1">
      <c r="A3840" s="4" t="s">
        <v>8900</v>
      </c>
      <c r="B3840" s="5" t="s">
        <v>8901</v>
      </c>
      <c r="C3840" s="5" t="s">
        <v>34</v>
      </c>
      <c r="D3840" s="5" t="s">
        <v>35</v>
      </c>
      <c r="E3840" s="5" t="s">
        <v>441</v>
      </c>
      <c r="F3840" s="9">
        <v>92</v>
      </c>
      <c r="G3840" s="9">
        <v>1068</v>
      </c>
      <c r="H3840" s="5" t="s">
        <v>20</v>
      </c>
      <c r="I3840" s="5" t="s">
        <v>8902</v>
      </c>
      <c r="J3840" s="12" t="str">
        <f>HYPERLINK("https://www.boe.es/gazeta/dias/1807/10/13/pdfs/GMD-1807-92.pdf#page=8","Abrir facsímil")</f>
        <v>Abrir facsímil</v>
      </c>
      <c r="K3840" s="15" t="s">
        <v>22</v>
      </c>
    </row>
    <row r="3841" spans="1:11" ht="42" customHeight="1">
      <c r="A3841" s="4" t="s">
        <v>8903</v>
      </c>
      <c r="B3841" s="5" t="s">
        <v>8904</v>
      </c>
      <c r="C3841" s="5" t="s">
        <v>34</v>
      </c>
      <c r="D3841" s="5" t="s">
        <v>35</v>
      </c>
      <c r="E3841" s="5" t="s">
        <v>131</v>
      </c>
      <c r="F3841" s="9">
        <v>28</v>
      </c>
      <c r="G3841" s="9">
        <v>334</v>
      </c>
      <c r="H3841" s="5" t="s">
        <v>20</v>
      </c>
      <c r="I3841" s="5" t="s">
        <v>8905</v>
      </c>
      <c r="J3841" s="12" t="str">
        <f>HYPERLINK("https://www.boe.es/gazeta/dias/1807/03/27/pdfs/GMD-1807-28.pdf#page=6","Abrir facsímil")</f>
        <v>Abrir facsímil</v>
      </c>
      <c r="K3841" s="15" t="s">
        <v>22</v>
      </c>
    </row>
    <row r="3842" spans="1:11" ht="42" customHeight="1">
      <c r="A3842" s="4" t="s">
        <v>8906</v>
      </c>
      <c r="B3842" s="5" t="s">
        <v>8906</v>
      </c>
      <c r="C3842" s="5" t="s">
        <v>34</v>
      </c>
      <c r="D3842" s="5" t="s">
        <v>35</v>
      </c>
      <c r="E3842" s="5" t="s">
        <v>94</v>
      </c>
      <c r="F3842" s="9">
        <v>22</v>
      </c>
      <c r="G3842" s="9">
        <v>252</v>
      </c>
      <c r="H3842" s="5" t="s">
        <v>20</v>
      </c>
      <c r="I3842" s="5" t="s">
        <v>8907</v>
      </c>
      <c r="J3842" s="12" t="str">
        <f>HYPERLINK("https://www.boe.es/gazeta/dias/1807/03/06/pdfs/GMD-1807-22.pdf#page=4","Abrir facsímil")</f>
        <v>Abrir facsímil</v>
      </c>
      <c r="K3842" s="15" t="s">
        <v>22</v>
      </c>
    </row>
    <row r="3843" spans="1:11" ht="42" customHeight="1">
      <c r="A3843" s="4" t="s">
        <v>8908</v>
      </c>
      <c r="B3843" s="5" t="s">
        <v>8909</v>
      </c>
      <c r="C3843" s="5" t="s">
        <v>34</v>
      </c>
      <c r="D3843" s="5" t="s">
        <v>35</v>
      </c>
      <c r="E3843" s="5" t="s">
        <v>464</v>
      </c>
      <c r="F3843" s="9">
        <v>18</v>
      </c>
      <c r="G3843" s="9">
        <v>206</v>
      </c>
      <c r="H3843" s="5" t="s">
        <v>20</v>
      </c>
      <c r="I3843" s="5" t="s">
        <v>8910</v>
      </c>
      <c r="J3843" s="12" t="str">
        <f>HYPERLINK("https://www.boe.es/gazeta/dias/1807/02/24/pdfs/GMD-1807-18.pdf#page=6","Abrir facsímil")</f>
        <v>Abrir facsímil</v>
      </c>
      <c r="K3843" s="15" t="s">
        <v>22</v>
      </c>
    </row>
    <row r="3844" spans="1:11" ht="42" customHeight="1">
      <c r="A3844" s="4" t="s">
        <v>8911</v>
      </c>
      <c r="B3844" s="5" t="s">
        <v>8912</v>
      </c>
      <c r="C3844" s="5" t="s">
        <v>24</v>
      </c>
      <c r="D3844" s="5" t="s">
        <v>18</v>
      </c>
      <c r="E3844" s="5" t="s">
        <v>561</v>
      </c>
      <c r="F3844" s="9">
        <v>44</v>
      </c>
      <c r="G3844" s="9">
        <v>528</v>
      </c>
      <c r="H3844" s="5" t="s">
        <v>20</v>
      </c>
      <c r="I3844" s="5" t="s">
        <v>8913</v>
      </c>
      <c r="J3844" s="12" t="str">
        <f>HYPERLINK("https://www.boe.es/gazeta/dias/1807/05/22/pdfs/GMD-1807-44.pdf#page=10","Abrir facsímil")</f>
        <v>Abrir facsímil</v>
      </c>
      <c r="K3844" s="15" t="s">
        <v>22</v>
      </c>
    </row>
    <row r="3845" spans="1:11" ht="42" customHeight="1">
      <c r="A3845" s="4" t="s">
        <v>8914</v>
      </c>
      <c r="B3845" s="5" t="s">
        <v>8915</v>
      </c>
      <c r="C3845" s="5" t="s">
        <v>17</v>
      </c>
      <c r="D3845" s="5" t="s">
        <v>18</v>
      </c>
      <c r="E3845" s="5" t="s">
        <v>83</v>
      </c>
      <c r="F3845" s="9">
        <v>50</v>
      </c>
      <c r="G3845" s="9">
        <v>595</v>
      </c>
      <c r="H3845" s="5" t="s">
        <v>20</v>
      </c>
      <c r="I3845" s="5" t="s">
        <v>8916</v>
      </c>
      <c r="J3845" s="12" t="str">
        <f>HYPERLINK("https://www.boe.es/gazeta/dias/1807/06/12/pdfs/GMD-1807-50.pdf#page=9","Abrir facsímil")</f>
        <v>Abrir facsímil</v>
      </c>
      <c r="K3845" s="15" t="s">
        <v>22</v>
      </c>
    </row>
    <row r="3846" spans="1:11" ht="42" customHeight="1">
      <c r="A3846" s="4" t="s">
        <v>8917</v>
      </c>
      <c r="B3846" s="5" t="s">
        <v>8918</v>
      </c>
      <c r="C3846" s="5" t="s">
        <v>17</v>
      </c>
      <c r="D3846" s="5" t="s">
        <v>18</v>
      </c>
      <c r="E3846" s="5" t="s">
        <v>441</v>
      </c>
      <c r="F3846" s="9">
        <v>92</v>
      </c>
      <c r="G3846" s="9">
        <v>1068</v>
      </c>
      <c r="H3846" s="5" t="s">
        <v>20</v>
      </c>
      <c r="I3846" s="5" t="s">
        <v>8919</v>
      </c>
      <c r="J3846" s="12" t="str">
        <f>HYPERLINK("https://www.boe.es/gazeta/dias/1807/10/13/pdfs/GMD-1807-92.pdf#page=8","Abrir facsímil")</f>
        <v>Abrir facsímil</v>
      </c>
      <c r="K3846" s="15" t="s">
        <v>22</v>
      </c>
    </row>
    <row r="3847" spans="1:11" ht="42" customHeight="1">
      <c r="A3847" s="4" t="s">
        <v>8920</v>
      </c>
      <c r="B3847" s="5" t="s">
        <v>8921</v>
      </c>
      <c r="C3847" s="5" t="s">
        <v>34</v>
      </c>
      <c r="D3847" s="5" t="s">
        <v>35</v>
      </c>
      <c r="E3847" s="5" t="s">
        <v>471</v>
      </c>
      <c r="F3847" s="9">
        <v>51</v>
      </c>
      <c r="G3847" s="9">
        <v>606</v>
      </c>
      <c r="H3847" s="5" t="s">
        <v>20</v>
      </c>
      <c r="I3847" s="5" t="s">
        <v>8922</v>
      </c>
      <c r="J3847" s="12" t="str">
        <f>HYPERLINK("https://www.boe.es/gazeta/dias/1807/06/16/pdfs/GMD-1807-51.pdf#page=8","Abrir facsímil")</f>
        <v>Abrir facsímil</v>
      </c>
      <c r="K3847" s="15" t="s">
        <v>22</v>
      </c>
    </row>
    <row r="3848" spans="1:11" ht="42" customHeight="1">
      <c r="A3848" s="4" t="s">
        <v>8923</v>
      </c>
      <c r="B3848" s="5" t="s">
        <v>8924</v>
      </c>
      <c r="C3848" s="5" t="s">
        <v>34</v>
      </c>
      <c r="D3848" s="5" t="s">
        <v>35</v>
      </c>
      <c r="E3848" s="5" t="s">
        <v>259</v>
      </c>
      <c r="F3848" s="9">
        <v>3</v>
      </c>
      <c r="G3848" s="9">
        <v>27</v>
      </c>
      <c r="H3848" s="5" t="s">
        <v>20</v>
      </c>
      <c r="I3848" s="5" t="s">
        <v>8925</v>
      </c>
      <c r="J3848" s="12" t="str">
        <f>HYPERLINK("https://www.boe.es/gazeta/dias/1807/01/09/pdfs/GMD-1807-3.pdf#page=7","Abrir facsímil")</f>
        <v>Abrir facsímil</v>
      </c>
      <c r="K3848" s="15" t="s">
        <v>22</v>
      </c>
    </row>
    <row r="3849" spans="1:11" ht="42" customHeight="1">
      <c r="A3849" s="4" t="s">
        <v>8926</v>
      </c>
      <c r="B3849" s="5" t="s">
        <v>8927</v>
      </c>
      <c r="C3849" s="5" t="s">
        <v>24</v>
      </c>
      <c r="D3849" s="5" t="s">
        <v>18</v>
      </c>
      <c r="E3849" s="5" t="s">
        <v>40</v>
      </c>
      <c r="F3849" s="9">
        <v>26</v>
      </c>
      <c r="G3849" s="9">
        <v>315</v>
      </c>
      <c r="H3849" s="5" t="s">
        <v>20</v>
      </c>
      <c r="I3849" s="5" t="s">
        <v>8928</v>
      </c>
      <c r="J3849" s="12" t="str">
        <f>HYPERLINK("https://www.boe.es/gazeta/dias/1807/03/20/pdfs/GMD-1807-26.pdf#page=11","Abrir facsímil")</f>
        <v>Abrir facsímil</v>
      </c>
      <c r="K3849" s="15" t="s">
        <v>22</v>
      </c>
    </row>
    <row r="3850" spans="1:11" ht="42" customHeight="1">
      <c r="A3850" s="4" t="s">
        <v>8929</v>
      </c>
      <c r="B3850" s="5" t="s">
        <v>8929</v>
      </c>
      <c r="C3850" s="5" t="s">
        <v>49</v>
      </c>
      <c r="D3850" s="5" t="s">
        <v>50</v>
      </c>
      <c r="E3850" s="5" t="s">
        <v>51</v>
      </c>
      <c r="F3850" s="9">
        <v>62</v>
      </c>
      <c r="G3850" s="9">
        <v>729</v>
      </c>
      <c r="H3850" s="5" t="s">
        <v>20</v>
      </c>
      <c r="I3850" s="5" t="s">
        <v>8930</v>
      </c>
      <c r="J3850" s="12" t="str">
        <f>HYPERLINK("https://www.boe.es/gazeta/dias/1807/07/17/pdfs/GMD-1807-62.pdf#page=3","Abrir facsímil")</f>
        <v>Abrir facsímil</v>
      </c>
      <c r="K3850" s="15" t="s">
        <v>22</v>
      </c>
    </row>
    <row r="3851" spans="1:11" ht="42" customHeight="1">
      <c r="A3851" s="4" t="s">
        <v>8931</v>
      </c>
      <c r="B3851" s="5" t="s">
        <v>8932</v>
      </c>
      <c r="C3851" s="5" t="s">
        <v>34</v>
      </c>
      <c r="D3851" s="5" t="s">
        <v>35</v>
      </c>
      <c r="E3851" s="5" t="s">
        <v>478</v>
      </c>
      <c r="F3851" s="9">
        <v>30</v>
      </c>
      <c r="G3851" s="9">
        <v>357</v>
      </c>
      <c r="H3851" s="5" t="s">
        <v>20</v>
      </c>
      <c r="I3851" s="5" t="s">
        <v>8933</v>
      </c>
      <c r="J3851" s="12" t="str">
        <f>HYPERLINK("https://www.boe.es/gazeta/dias/1807/04/03/pdfs/GMD-1807-30.pdf#page=9","Abrir facsímil")</f>
        <v>Abrir facsímil</v>
      </c>
      <c r="K3851" s="15" t="s">
        <v>22</v>
      </c>
    </row>
    <row r="3852" spans="1:11" ht="42" customHeight="1">
      <c r="A3852" s="4" t="s">
        <v>8934</v>
      </c>
      <c r="B3852" s="5" t="s">
        <v>8935</v>
      </c>
      <c r="C3852" s="5" t="s">
        <v>34</v>
      </c>
      <c r="D3852" s="5" t="s">
        <v>35</v>
      </c>
      <c r="E3852" s="5" t="s">
        <v>505</v>
      </c>
      <c r="F3852" s="9">
        <v>47</v>
      </c>
      <c r="G3852" s="9">
        <v>562</v>
      </c>
      <c r="H3852" s="5" t="s">
        <v>20</v>
      </c>
      <c r="I3852" s="5" t="s">
        <v>8936</v>
      </c>
      <c r="J3852" s="12" t="str">
        <f>HYPERLINK("https://www.boe.es/gazeta/dias/1807/06/02/pdfs/GMD-1807-47.pdf#page=8","Abrir facsímil")</f>
        <v>Abrir facsímil</v>
      </c>
      <c r="K3852" s="15" t="s">
        <v>22</v>
      </c>
    </row>
    <row r="3853" spans="1:11" ht="42" customHeight="1">
      <c r="A3853" s="4" t="s">
        <v>8937</v>
      </c>
      <c r="B3853" s="5" t="s">
        <v>8938</v>
      </c>
      <c r="C3853" s="5" t="s">
        <v>17</v>
      </c>
      <c r="D3853" s="5" t="s">
        <v>18</v>
      </c>
      <c r="E3853" s="5" t="s">
        <v>179</v>
      </c>
      <c r="F3853" s="9">
        <v>100</v>
      </c>
      <c r="G3853" s="9">
        <v>1164</v>
      </c>
      <c r="H3853" s="5" t="s">
        <v>20</v>
      </c>
      <c r="I3853" s="5" t="s">
        <v>8939</v>
      </c>
      <c r="J3853" s="12" t="str">
        <f>HYPERLINK("https://www.boe.es/gazeta/dias/1807/11/10/pdfs/GMD-1807-100.pdf#page=8","Abrir facsímil")</f>
        <v>Abrir facsímil</v>
      </c>
      <c r="K3853" s="15" t="s">
        <v>22</v>
      </c>
    </row>
    <row r="3854" spans="1:11" ht="42" customHeight="1">
      <c r="A3854" s="4" t="s">
        <v>8940</v>
      </c>
      <c r="B3854" s="5" t="s">
        <v>8941</v>
      </c>
      <c r="C3854" s="5" t="s">
        <v>28</v>
      </c>
      <c r="D3854" s="5" t="s">
        <v>29</v>
      </c>
      <c r="E3854" s="5" t="s">
        <v>135</v>
      </c>
      <c r="F3854" s="9">
        <v>80</v>
      </c>
      <c r="G3854" s="9">
        <v>933</v>
      </c>
      <c r="H3854" s="5" t="s">
        <v>20</v>
      </c>
      <c r="I3854" s="5" t="s">
        <v>8942</v>
      </c>
      <c r="J3854" s="12" t="str">
        <f>HYPERLINK("https://www.boe.es/gazeta/dias/1807/09/08/pdfs/GMD-1807-80.pdf#page=9","Abrir facsímil")</f>
        <v>Abrir facsímil</v>
      </c>
      <c r="K3854" s="15" t="s">
        <v>22</v>
      </c>
    </row>
    <row r="3855" spans="1:11" ht="42" customHeight="1">
      <c r="A3855" s="4" t="s">
        <v>8943</v>
      </c>
      <c r="B3855" s="5" t="s">
        <v>8944</v>
      </c>
      <c r="C3855" s="5" t="s">
        <v>252</v>
      </c>
      <c r="D3855" s="5" t="s">
        <v>253</v>
      </c>
      <c r="E3855" s="5" t="s">
        <v>314</v>
      </c>
      <c r="F3855" s="9" t="s">
        <v>315</v>
      </c>
      <c r="G3855" s="9">
        <v>1222</v>
      </c>
      <c r="H3855" s="5" t="s">
        <v>20</v>
      </c>
      <c r="I3855" s="5" t="s">
        <v>8945</v>
      </c>
      <c r="J3855" s="12" t="str">
        <f>HYPERLINK("https://www.boe.es/gazeta/dias/1807/11/26/pdfs/GMD-1807-105E.pdf#page=6","Abrir facsímil")</f>
        <v>Abrir facsímil</v>
      </c>
      <c r="K3855" s="15" t="s">
        <v>22</v>
      </c>
    </row>
    <row r="3856" spans="1:11" ht="42" customHeight="1">
      <c r="A3856" s="4" t="s">
        <v>8946</v>
      </c>
      <c r="B3856" s="5" t="s">
        <v>8947</v>
      </c>
      <c r="C3856" s="5" t="s">
        <v>34</v>
      </c>
      <c r="D3856" s="5" t="s">
        <v>35</v>
      </c>
      <c r="E3856" s="5" t="s">
        <v>186</v>
      </c>
      <c r="F3856" s="9">
        <v>72</v>
      </c>
      <c r="G3856" s="9">
        <v>828</v>
      </c>
      <c r="H3856" s="5" t="s">
        <v>20</v>
      </c>
      <c r="I3856" s="5" t="s">
        <v>8948</v>
      </c>
      <c r="J3856" s="12" t="str">
        <f>HYPERLINK("https://www.boe.es/gazeta/dias/1807/08/11/pdfs/GMD-1807-72.pdf#page=8","Abrir facsímil")</f>
        <v>Abrir facsímil</v>
      </c>
      <c r="K3856" s="15" t="s">
        <v>22</v>
      </c>
    </row>
    <row r="3857" spans="1:11" ht="42" customHeight="1">
      <c r="A3857" s="4" t="s">
        <v>8949</v>
      </c>
      <c r="B3857" s="5" t="s">
        <v>8950</v>
      </c>
      <c r="C3857" s="5" t="s">
        <v>28</v>
      </c>
      <c r="D3857" s="5" t="s">
        <v>29</v>
      </c>
      <c r="E3857" s="5" t="s">
        <v>167</v>
      </c>
      <c r="F3857" s="9">
        <v>77</v>
      </c>
      <c r="G3857" s="9">
        <v>895</v>
      </c>
      <c r="H3857" s="5" t="s">
        <v>20</v>
      </c>
      <c r="I3857" s="5" t="s">
        <v>8951</v>
      </c>
      <c r="J3857" s="12" t="str">
        <f>HYPERLINK("https://www.boe.es/gazeta/dias/1807/08/28/pdfs/GMD-1807-77.pdf#page=11","Abrir facsímil")</f>
        <v>Abrir facsímil</v>
      </c>
      <c r="K3857" s="15" t="s">
        <v>22</v>
      </c>
    </row>
    <row r="3858" spans="1:11" ht="42" customHeight="1">
      <c r="A3858" s="4" t="s">
        <v>8952</v>
      </c>
      <c r="B3858" s="5" t="s">
        <v>8953</v>
      </c>
      <c r="C3858" s="5" t="s">
        <v>28</v>
      </c>
      <c r="D3858" s="5" t="s">
        <v>29</v>
      </c>
      <c r="E3858" s="5" t="s">
        <v>620</v>
      </c>
      <c r="F3858" s="9">
        <v>84</v>
      </c>
      <c r="G3858" s="9">
        <v>984</v>
      </c>
      <c r="H3858" s="5" t="s">
        <v>20</v>
      </c>
      <c r="I3858" s="5" t="s">
        <v>8954</v>
      </c>
      <c r="J3858" s="12" t="str">
        <f>HYPERLINK("https://www.boe.es/gazeta/dias/1807/09/22/pdfs/GMD-1807-84.pdf#page=12","Abrir facsímil")</f>
        <v>Abrir facsímil</v>
      </c>
      <c r="K3858" s="15" t="s">
        <v>22</v>
      </c>
    </row>
    <row r="3859" spans="1:11" ht="42" customHeight="1">
      <c r="A3859" s="4" t="s">
        <v>8955</v>
      </c>
      <c r="B3859" s="5" t="s">
        <v>8956</v>
      </c>
      <c r="C3859" s="5" t="s">
        <v>28</v>
      </c>
      <c r="D3859" s="5" t="s">
        <v>29</v>
      </c>
      <c r="E3859" s="5" t="s">
        <v>422</v>
      </c>
      <c r="F3859" s="9">
        <v>33</v>
      </c>
      <c r="G3859" s="9">
        <v>393</v>
      </c>
      <c r="H3859" s="5" t="s">
        <v>20</v>
      </c>
      <c r="I3859" s="5" t="s">
        <v>8957</v>
      </c>
      <c r="J3859" s="12" t="str">
        <f>HYPERLINK("https://www.boe.es/gazeta/dias/1807/04/14/pdfs/GMD-1807-33.pdf#page=9","Abrir facsímil")</f>
        <v>Abrir facsímil</v>
      </c>
      <c r="K3859" s="15" t="s">
        <v>22</v>
      </c>
    </row>
    <row r="3860" spans="1:11" ht="42" customHeight="1">
      <c r="A3860" s="4" t="s">
        <v>8958</v>
      </c>
      <c r="B3860" s="5" t="s">
        <v>8959</v>
      </c>
      <c r="C3860" s="5" t="s">
        <v>49</v>
      </c>
      <c r="D3860" s="5" t="s">
        <v>50</v>
      </c>
      <c r="E3860" s="5" t="s">
        <v>572</v>
      </c>
      <c r="F3860" s="9">
        <v>14</v>
      </c>
      <c r="G3860" s="9">
        <v>158</v>
      </c>
      <c r="H3860" s="5" t="s">
        <v>20</v>
      </c>
      <c r="I3860" s="5" t="s">
        <v>8960</v>
      </c>
      <c r="J3860" s="12" t="str">
        <f>HYPERLINK("https://www.boe.es/gazeta/dias/1807/02/10/pdfs/GMD-1807-14.pdf#page=6","Abrir facsímil")</f>
        <v>Abrir facsímil</v>
      </c>
      <c r="K3860" s="15" t="s">
        <v>22</v>
      </c>
    </row>
    <row r="3861" spans="1:11" ht="42" customHeight="1">
      <c r="A3861" s="4" t="s">
        <v>8961</v>
      </c>
      <c r="B3861" s="5" t="s">
        <v>8962</v>
      </c>
      <c r="C3861" s="5" t="s">
        <v>34</v>
      </c>
      <c r="D3861" s="5" t="s">
        <v>35</v>
      </c>
      <c r="E3861" s="5" t="s">
        <v>98</v>
      </c>
      <c r="F3861" s="9">
        <v>34</v>
      </c>
      <c r="G3861" s="9">
        <v>406</v>
      </c>
      <c r="H3861" s="5" t="s">
        <v>20</v>
      </c>
      <c r="I3861" s="5" t="s">
        <v>8963</v>
      </c>
      <c r="J3861" s="12" t="str">
        <f>HYPERLINK("https://www.boe.es/gazeta/dias/1807/04/17/pdfs/GMD-1807-34.pdf#page=10","Abrir facsímil")</f>
        <v>Abrir facsímil</v>
      </c>
      <c r="K3861" s="15" t="s">
        <v>22</v>
      </c>
    </row>
    <row r="3862" spans="1:11" ht="42" customHeight="1">
      <c r="A3862" s="4" t="s">
        <v>8964</v>
      </c>
      <c r="B3862" s="5" t="s">
        <v>8965</v>
      </c>
      <c r="C3862" s="5" t="s">
        <v>34</v>
      </c>
      <c r="D3862" s="5" t="s">
        <v>35</v>
      </c>
      <c r="E3862" s="5" t="s">
        <v>1340</v>
      </c>
      <c r="F3862" s="9">
        <v>114</v>
      </c>
      <c r="G3862" s="9">
        <v>1332</v>
      </c>
      <c r="H3862" s="5" t="s">
        <v>20</v>
      </c>
      <c r="I3862" s="5" t="s">
        <v>8966</v>
      </c>
      <c r="J3862" s="12" t="str">
        <f>HYPERLINK("https://www.boe.es/gazeta/dias/1807/12/25/pdfs/GMD-1807-114.pdf#page=8","Abrir facsímil")</f>
        <v>Abrir facsímil</v>
      </c>
      <c r="K3862" s="15" t="s">
        <v>22</v>
      </c>
    </row>
    <row r="3863" spans="1:11" ht="42" customHeight="1">
      <c r="A3863" s="4" t="s">
        <v>8967</v>
      </c>
      <c r="B3863" s="5" t="s">
        <v>8968</v>
      </c>
      <c r="C3863" s="5" t="s">
        <v>34</v>
      </c>
      <c r="D3863" s="5" t="s">
        <v>35</v>
      </c>
      <c r="E3863" s="5" t="s">
        <v>91</v>
      </c>
      <c r="F3863" s="9">
        <v>109</v>
      </c>
      <c r="G3863" s="9">
        <v>1273</v>
      </c>
      <c r="H3863" s="5" t="s">
        <v>20</v>
      </c>
      <c r="I3863" s="5" t="s">
        <v>8969</v>
      </c>
      <c r="J3863" s="12" t="str">
        <f>HYPERLINK("https://www.boe.es/gazeta/dias/1807/12/08/pdfs/GMD-1807-109.pdf#page=9","Abrir facsímil")</f>
        <v>Abrir facsímil</v>
      </c>
      <c r="K3863" s="15" t="s">
        <v>22</v>
      </c>
    </row>
    <row r="3864" spans="1:11" ht="42" customHeight="1">
      <c r="A3864" s="4" t="s">
        <v>8970</v>
      </c>
      <c r="B3864" s="5" t="s">
        <v>8971</v>
      </c>
      <c r="C3864" s="5" t="s">
        <v>28</v>
      </c>
      <c r="D3864" s="5" t="s">
        <v>29</v>
      </c>
      <c r="E3864" s="5" t="s">
        <v>224</v>
      </c>
      <c r="F3864" s="9">
        <v>91</v>
      </c>
      <c r="G3864" s="9">
        <v>1055</v>
      </c>
      <c r="H3864" s="5" t="s">
        <v>20</v>
      </c>
      <c r="I3864" s="5" t="s">
        <v>8972</v>
      </c>
      <c r="J3864" s="12" t="str">
        <f>HYPERLINK("https://www.boe.es/gazeta/dias/1807/10/09/pdfs/GMD-1807-91.pdf#page=7","Abrir facsímil")</f>
        <v>Abrir facsímil</v>
      </c>
      <c r="K3864" s="15" t="s">
        <v>22</v>
      </c>
    </row>
    <row r="3865" spans="1:11" ht="42" customHeight="1">
      <c r="A3865" s="4" t="s">
        <v>8973</v>
      </c>
      <c r="B3865" s="5" t="s">
        <v>8974</v>
      </c>
      <c r="C3865" s="5" t="s">
        <v>24</v>
      </c>
      <c r="D3865" s="5" t="s">
        <v>18</v>
      </c>
      <c r="E3865" s="5" t="s">
        <v>42</v>
      </c>
      <c r="F3865" s="9">
        <v>31</v>
      </c>
      <c r="G3865" s="9">
        <v>371</v>
      </c>
      <c r="H3865" s="5" t="s">
        <v>20</v>
      </c>
      <c r="I3865" s="5" t="s">
        <v>8975</v>
      </c>
      <c r="J3865" s="12" t="str">
        <f>HYPERLINK("https://www.boe.es/gazeta/dias/1807/04/07/pdfs/GMD-1807-31.pdf#page=11","Abrir facsímil")</f>
        <v>Abrir facsímil</v>
      </c>
      <c r="K3865" s="15" t="s">
        <v>22</v>
      </c>
    </row>
    <row r="3866" spans="1:11" ht="42" customHeight="1">
      <c r="A3866" s="4" t="s">
        <v>8976</v>
      </c>
      <c r="B3866" s="5" t="s">
        <v>8976</v>
      </c>
      <c r="C3866" s="5" t="s">
        <v>49</v>
      </c>
      <c r="D3866" s="5" t="s">
        <v>50</v>
      </c>
      <c r="E3866" s="5" t="s">
        <v>79</v>
      </c>
      <c r="F3866" s="9">
        <v>11</v>
      </c>
      <c r="G3866" s="9">
        <v>119</v>
      </c>
      <c r="H3866" s="5" t="s">
        <v>20</v>
      </c>
      <c r="I3866" s="5" t="s">
        <v>8977</v>
      </c>
      <c r="J3866" s="12" t="str">
        <f>HYPERLINK("https://www.boe.es/gazeta/dias/1807/01/30/pdfs/GMD-1807-11.pdf#page=3","Abrir facsímil")</f>
        <v>Abrir facsímil</v>
      </c>
      <c r="K3866" s="15" t="s">
        <v>22</v>
      </c>
    </row>
    <row r="3867" spans="1:11" ht="42" customHeight="1">
      <c r="A3867" s="4" t="s">
        <v>8978</v>
      </c>
      <c r="B3867" s="5" t="s">
        <v>8979</v>
      </c>
      <c r="C3867" s="5" t="s">
        <v>28</v>
      </c>
      <c r="D3867" s="5" t="s">
        <v>29</v>
      </c>
      <c r="E3867" s="5" t="s">
        <v>418</v>
      </c>
      <c r="F3867" s="9">
        <v>4</v>
      </c>
      <c r="G3867" s="9">
        <v>38</v>
      </c>
      <c r="H3867" s="5" t="s">
        <v>20</v>
      </c>
      <c r="I3867" s="5" t="s">
        <v>8980</v>
      </c>
      <c r="J3867" s="12" t="str">
        <f>HYPERLINK("https://www.boe.es/gazeta/dias/1807/01/13/pdfs/GMD-1807-4.pdf#page=6","Abrir facsímil")</f>
        <v>Abrir facsímil</v>
      </c>
      <c r="K3867" s="15" t="s">
        <v>22</v>
      </c>
    </row>
    <row r="3868" spans="1:11" ht="42" customHeight="1">
      <c r="A3868" s="4" t="s">
        <v>8978</v>
      </c>
      <c r="B3868" s="5" t="s">
        <v>8979</v>
      </c>
      <c r="C3868" s="5" t="s">
        <v>49</v>
      </c>
      <c r="D3868" s="5" t="s">
        <v>50</v>
      </c>
      <c r="E3868" s="5" t="s">
        <v>270</v>
      </c>
      <c r="F3868" s="9">
        <v>8</v>
      </c>
      <c r="G3868" s="9">
        <v>86</v>
      </c>
      <c r="H3868" s="5" t="s">
        <v>20</v>
      </c>
      <c r="I3868" s="5" t="s">
        <v>8981</v>
      </c>
      <c r="J3868" s="12" t="str">
        <f>HYPERLINK("https://www.boe.es/gazeta/dias/1807/01/23/pdfs/GMD-1807-8.pdf#page=2","Abrir facsímil")</f>
        <v>Abrir facsímil</v>
      </c>
      <c r="K3868" s="15" t="s">
        <v>22</v>
      </c>
    </row>
    <row r="3869" spans="1:11" ht="42" customHeight="1">
      <c r="A3869" s="4" t="s">
        <v>8978</v>
      </c>
      <c r="B3869" s="5" t="s">
        <v>8979</v>
      </c>
      <c r="C3869" s="5" t="s">
        <v>49</v>
      </c>
      <c r="D3869" s="5" t="s">
        <v>50</v>
      </c>
      <c r="E3869" s="5" t="s">
        <v>176</v>
      </c>
      <c r="F3869" s="9">
        <v>17</v>
      </c>
      <c r="G3869" s="9">
        <v>190</v>
      </c>
      <c r="H3869" s="5" t="s">
        <v>20</v>
      </c>
      <c r="I3869" s="5" t="s">
        <v>8982</v>
      </c>
      <c r="J3869" s="12" t="str">
        <f>HYPERLINK("https://www.boe.es/gazeta/dias/1807/02/20/pdfs/GMD-1807-17.pdf#page=2","Abrir facsímil")</f>
        <v>Abrir facsímil</v>
      </c>
      <c r="K3869" s="15" t="s">
        <v>22</v>
      </c>
    </row>
    <row r="3870" spans="1:11" ht="42" customHeight="1">
      <c r="A3870" s="4" t="s">
        <v>8978</v>
      </c>
      <c r="B3870" s="5" t="s">
        <v>8979</v>
      </c>
      <c r="C3870" s="5" t="s">
        <v>49</v>
      </c>
      <c r="D3870" s="5" t="s">
        <v>50</v>
      </c>
      <c r="E3870" s="5" t="s">
        <v>376</v>
      </c>
      <c r="F3870" s="9">
        <v>19</v>
      </c>
      <c r="G3870" s="9">
        <v>218</v>
      </c>
      <c r="H3870" s="5" t="s">
        <v>20</v>
      </c>
      <c r="I3870" s="5" t="s">
        <v>8983</v>
      </c>
      <c r="J3870" s="12" t="str">
        <f>HYPERLINK("https://www.boe.es/gazeta/dias/1807/02/27/pdfs/GMD-1807-19.pdf#page=2","Abrir facsímil")</f>
        <v>Abrir facsímil</v>
      </c>
      <c r="K3870" s="15" t="s">
        <v>22</v>
      </c>
    </row>
    <row r="3871" spans="1:11" ht="42" customHeight="1">
      <c r="A3871" s="4" t="s">
        <v>8984</v>
      </c>
      <c r="B3871" s="5" t="s">
        <v>8985</v>
      </c>
      <c r="C3871" s="5" t="s">
        <v>34</v>
      </c>
      <c r="D3871" s="5" t="s">
        <v>35</v>
      </c>
      <c r="E3871" s="5" t="s">
        <v>219</v>
      </c>
      <c r="F3871" s="9">
        <v>56</v>
      </c>
      <c r="G3871" s="9">
        <v>669</v>
      </c>
      <c r="H3871" s="5" t="s">
        <v>20</v>
      </c>
      <c r="I3871" s="5" t="s">
        <v>8986</v>
      </c>
      <c r="J3871" s="12" t="str">
        <f>HYPERLINK("https://www.boe.es/gazeta/dias/1807/07/03/pdfs/GMD-1807-56.pdf#page=7","Abrir facsímil")</f>
        <v>Abrir facsímil</v>
      </c>
      <c r="K3871" s="15" t="s">
        <v>22</v>
      </c>
    </row>
    <row r="3872" spans="1:11" ht="42" customHeight="1">
      <c r="A3872" s="4" t="s">
        <v>8987</v>
      </c>
      <c r="B3872" s="5" t="s">
        <v>8988</v>
      </c>
      <c r="C3872" s="5" t="s">
        <v>28</v>
      </c>
      <c r="D3872" s="5" t="s">
        <v>29</v>
      </c>
      <c r="E3872" s="5" t="s">
        <v>1076</v>
      </c>
      <c r="F3872" s="9">
        <v>96</v>
      </c>
      <c r="G3872" s="9">
        <v>1115</v>
      </c>
      <c r="H3872" s="5" t="s">
        <v>20</v>
      </c>
      <c r="I3872" s="5" t="s">
        <v>8989</v>
      </c>
      <c r="J3872" s="12" t="str">
        <f>HYPERLINK("https://www.boe.es/gazeta/dias/1807/10/27/pdfs/GMD-1807-96.pdf#page=7","Abrir facsímil")</f>
        <v>Abrir facsímil</v>
      </c>
      <c r="K3872" s="15" t="s">
        <v>22</v>
      </c>
    </row>
    <row r="3873" spans="1:11" ht="42" customHeight="1">
      <c r="A3873" s="4" t="s">
        <v>8990</v>
      </c>
      <c r="B3873" s="5" t="s">
        <v>8991</v>
      </c>
      <c r="C3873" s="5" t="s">
        <v>24</v>
      </c>
      <c r="D3873" s="5" t="s">
        <v>18</v>
      </c>
      <c r="E3873" s="5" t="s">
        <v>152</v>
      </c>
      <c r="F3873" s="9">
        <v>61</v>
      </c>
      <c r="G3873" s="9">
        <v>723</v>
      </c>
      <c r="H3873" s="5" t="s">
        <v>20</v>
      </c>
      <c r="I3873" s="5" t="s">
        <v>8992</v>
      </c>
      <c r="J3873" s="12" t="str">
        <f>HYPERLINK("https://www.boe.es/gazeta/dias/1807/07/14/pdfs/GMD-1807-61.pdf#page=9","Abrir facsímil")</f>
        <v>Abrir facsímil</v>
      </c>
      <c r="K3873" s="15" t="s">
        <v>22</v>
      </c>
    </row>
    <row r="3874" spans="1:11" ht="42" customHeight="1">
      <c r="A3874" s="4" t="s">
        <v>8993</v>
      </c>
      <c r="B3874" s="5" t="s">
        <v>8994</v>
      </c>
      <c r="C3874" s="5" t="s">
        <v>24</v>
      </c>
      <c r="D3874" s="5" t="s">
        <v>18</v>
      </c>
      <c r="E3874" s="5" t="s">
        <v>530</v>
      </c>
      <c r="F3874" s="9">
        <v>79</v>
      </c>
      <c r="G3874" s="9">
        <v>923</v>
      </c>
      <c r="H3874" s="5" t="s">
        <v>20</v>
      </c>
      <c r="I3874" s="5" t="s">
        <v>8995</v>
      </c>
      <c r="J3874" s="12" t="str">
        <f>HYPERLINK("https://www.boe.es/gazeta/dias/1807/09/04/pdfs/GMD-1807-79.pdf#page=15","Abrir facsímil")</f>
        <v>Abrir facsímil</v>
      </c>
      <c r="K3874" s="15" t="s">
        <v>22</v>
      </c>
    </row>
    <row r="3875" spans="1:11" ht="42" customHeight="1">
      <c r="A3875" s="4" t="s">
        <v>8996</v>
      </c>
      <c r="B3875" s="5" t="s">
        <v>8997</v>
      </c>
      <c r="C3875" s="5" t="s">
        <v>28</v>
      </c>
      <c r="D3875" s="5" t="s">
        <v>29</v>
      </c>
      <c r="E3875" s="5" t="s">
        <v>51</v>
      </c>
      <c r="F3875" s="9">
        <v>62</v>
      </c>
      <c r="G3875" s="9">
        <v>732</v>
      </c>
      <c r="H3875" s="5" t="s">
        <v>20</v>
      </c>
      <c r="I3875" s="5" t="s">
        <v>8998</v>
      </c>
      <c r="J3875" s="12" t="str">
        <f>HYPERLINK("https://www.boe.es/gazeta/dias/1807/07/17/pdfs/GMD-1807-62.pdf#page=6","Abrir facsímil")</f>
        <v>Abrir facsímil</v>
      </c>
      <c r="K3875" s="15" t="s">
        <v>22</v>
      </c>
    </row>
    <row r="3876" spans="1:11" ht="42" customHeight="1">
      <c r="A3876" s="4" t="s">
        <v>8999</v>
      </c>
      <c r="B3876" s="5" t="s">
        <v>9000</v>
      </c>
      <c r="C3876" s="5" t="s">
        <v>28</v>
      </c>
      <c r="D3876" s="5" t="s">
        <v>29</v>
      </c>
      <c r="E3876" s="5" t="s">
        <v>51</v>
      </c>
      <c r="F3876" s="9">
        <v>62</v>
      </c>
      <c r="G3876" s="9">
        <v>734</v>
      </c>
      <c r="H3876" s="5" t="s">
        <v>20</v>
      </c>
      <c r="I3876" s="5" t="s">
        <v>9001</v>
      </c>
      <c r="J3876" s="12" t="str">
        <f>HYPERLINK("https://www.boe.es/gazeta/dias/1807/07/17/pdfs/GMD-1807-62.pdf#page=8","Abrir facsímil")</f>
        <v>Abrir facsímil</v>
      </c>
      <c r="K3876" s="15" t="s">
        <v>22</v>
      </c>
    </row>
    <row r="3877" spans="1:11" ht="42" customHeight="1">
      <c r="A3877" s="4" t="s">
        <v>9002</v>
      </c>
      <c r="B3877" s="5" t="s">
        <v>9003</v>
      </c>
      <c r="C3877" s="5" t="s">
        <v>49</v>
      </c>
      <c r="D3877" s="5" t="s">
        <v>50</v>
      </c>
      <c r="E3877" s="5" t="s">
        <v>305</v>
      </c>
      <c r="F3877" s="9">
        <v>53</v>
      </c>
      <c r="G3877" s="9">
        <v>634</v>
      </c>
      <c r="H3877" s="5" t="s">
        <v>20</v>
      </c>
      <c r="I3877" s="5" t="s">
        <v>9004</v>
      </c>
      <c r="J3877" s="12" t="str">
        <f>HYPERLINK("https://www.boe.es/gazeta/dias/1807/06/23/pdfs/GMD-1807-53.pdf#page=8","Abrir facsímil")</f>
        <v>Abrir facsímil</v>
      </c>
      <c r="K3877" s="15" t="s">
        <v>22</v>
      </c>
    </row>
    <row r="3878" spans="1:11" ht="42" customHeight="1">
      <c r="A3878" s="4" t="s">
        <v>9002</v>
      </c>
      <c r="B3878" s="5" t="s">
        <v>9003</v>
      </c>
      <c r="C3878" s="5" t="s">
        <v>28</v>
      </c>
      <c r="D3878" s="5" t="s">
        <v>29</v>
      </c>
      <c r="E3878" s="5" t="s">
        <v>319</v>
      </c>
      <c r="F3878" s="9">
        <v>54</v>
      </c>
      <c r="G3878" s="9">
        <v>646</v>
      </c>
      <c r="H3878" s="5" t="s">
        <v>20</v>
      </c>
      <c r="I3878" s="5" t="s">
        <v>9005</v>
      </c>
      <c r="J3878" s="12" t="str">
        <f>HYPERLINK("https://www.boe.es/gazeta/dias/1807/06/26/pdfs/GMD-1807-54.pdf#page=8","Abrir facsímil")</f>
        <v>Abrir facsímil</v>
      </c>
      <c r="K3878" s="15" t="s">
        <v>22</v>
      </c>
    </row>
    <row r="3879" spans="1:11" ht="42" customHeight="1">
      <c r="A3879" s="4" t="s">
        <v>9002</v>
      </c>
      <c r="B3879" s="5" t="s">
        <v>9003</v>
      </c>
      <c r="C3879" s="5" t="s">
        <v>28</v>
      </c>
      <c r="D3879" s="5" t="s">
        <v>29</v>
      </c>
      <c r="E3879" s="5" t="s">
        <v>567</v>
      </c>
      <c r="F3879" s="9">
        <v>55</v>
      </c>
      <c r="G3879" s="9">
        <v>659</v>
      </c>
      <c r="H3879" s="5" t="s">
        <v>20</v>
      </c>
      <c r="I3879" s="5" t="s">
        <v>9006</v>
      </c>
      <c r="J3879" s="12" t="str">
        <f>HYPERLINK("https://www.boe.es/gazeta/dias/1807/06/30/pdfs/GMD-1807-55.pdf#page=9","Abrir facsímil")</f>
        <v>Abrir facsímil</v>
      </c>
      <c r="K3879" s="15" t="s">
        <v>22</v>
      </c>
    </row>
    <row r="3880" spans="1:11" ht="42" customHeight="1">
      <c r="A3880" s="4" t="s">
        <v>9007</v>
      </c>
      <c r="B3880" s="5" t="s">
        <v>9008</v>
      </c>
      <c r="C3880" s="5" t="s">
        <v>34</v>
      </c>
      <c r="D3880" s="5" t="s">
        <v>35</v>
      </c>
      <c r="E3880" s="5" t="s">
        <v>40</v>
      </c>
      <c r="F3880" s="9">
        <v>26</v>
      </c>
      <c r="G3880" s="9">
        <v>312</v>
      </c>
      <c r="H3880" s="5" t="s">
        <v>20</v>
      </c>
      <c r="I3880" s="5" t="s">
        <v>9009</v>
      </c>
      <c r="J3880" s="12" t="str">
        <f>HYPERLINK("https://www.boe.es/gazeta/dias/1807/03/20/pdfs/GMD-1807-26.pdf#page=8","Abrir facsímil")</f>
        <v>Abrir facsímil</v>
      </c>
      <c r="K3880" s="15" t="s">
        <v>22</v>
      </c>
    </row>
    <row r="3881" spans="1:11" ht="42" customHeight="1">
      <c r="A3881" s="4" t="s">
        <v>9010</v>
      </c>
      <c r="B3881" s="5" t="s">
        <v>9010</v>
      </c>
      <c r="C3881" s="5" t="s">
        <v>49</v>
      </c>
      <c r="D3881" s="5" t="s">
        <v>50</v>
      </c>
      <c r="E3881" s="5" t="s">
        <v>530</v>
      </c>
      <c r="F3881" s="9">
        <v>79</v>
      </c>
      <c r="G3881" s="9">
        <v>910</v>
      </c>
      <c r="H3881" s="5" t="s">
        <v>20</v>
      </c>
      <c r="I3881" s="5" t="s">
        <v>9011</v>
      </c>
      <c r="J3881" s="12" t="str">
        <f>HYPERLINK("https://www.boe.es/gazeta/dias/1807/09/04/pdfs/GMD-1807-79.pdf#page=2","Abrir facsímil")</f>
        <v>Abrir facsímil</v>
      </c>
      <c r="K3881" s="15" t="s">
        <v>22</v>
      </c>
    </row>
    <row r="3882" spans="1:11" ht="42" customHeight="1">
      <c r="A3882" s="4" t="s">
        <v>9010</v>
      </c>
      <c r="B3882" s="5" t="s">
        <v>9010</v>
      </c>
      <c r="C3882" s="5" t="s">
        <v>34</v>
      </c>
      <c r="D3882" s="5" t="s">
        <v>35</v>
      </c>
      <c r="E3882" s="5" t="s">
        <v>224</v>
      </c>
      <c r="F3882" s="9">
        <v>91</v>
      </c>
      <c r="G3882" s="9">
        <v>1051</v>
      </c>
      <c r="H3882" s="5" t="s">
        <v>20</v>
      </c>
      <c r="I3882" s="5" t="s">
        <v>9012</v>
      </c>
      <c r="J3882" s="12" t="str">
        <f>HYPERLINK("https://www.boe.es/gazeta/dias/1807/10/09/pdfs/GMD-1807-91.pdf#page=3","Abrir facsímil")</f>
        <v>Abrir facsímil</v>
      </c>
      <c r="K3882" s="15" t="s">
        <v>22</v>
      </c>
    </row>
    <row r="3883" spans="1:11" ht="42" customHeight="1">
      <c r="A3883" s="4" t="s">
        <v>9013</v>
      </c>
      <c r="B3883" s="5" t="s">
        <v>9014</v>
      </c>
      <c r="C3883" s="5" t="s">
        <v>49</v>
      </c>
      <c r="D3883" s="5" t="s">
        <v>50</v>
      </c>
      <c r="E3883" s="5" t="s">
        <v>259</v>
      </c>
      <c r="F3883" s="9">
        <v>3</v>
      </c>
      <c r="G3883" s="9">
        <v>23</v>
      </c>
      <c r="H3883" s="5" t="s">
        <v>20</v>
      </c>
      <c r="I3883" s="5" t="s">
        <v>9015</v>
      </c>
      <c r="J3883" s="12" t="str">
        <f>HYPERLINK("https://www.boe.es/gazeta/dias/1807/01/09/pdfs/GMD-1807-3.pdf#page=3","Abrir facsímil")</f>
        <v>Abrir facsímil</v>
      </c>
      <c r="K3883" s="15" t="s">
        <v>22</v>
      </c>
    </row>
    <row r="3884" spans="1:11" ht="42" customHeight="1">
      <c r="A3884" s="4" t="s">
        <v>9016</v>
      </c>
      <c r="B3884" s="5" t="s">
        <v>9017</v>
      </c>
      <c r="C3884" s="5" t="s">
        <v>34</v>
      </c>
      <c r="D3884" s="5" t="s">
        <v>35</v>
      </c>
      <c r="E3884" s="5" t="s">
        <v>319</v>
      </c>
      <c r="F3884" s="9">
        <v>54</v>
      </c>
      <c r="G3884" s="9">
        <v>645</v>
      </c>
      <c r="H3884" s="5" t="s">
        <v>20</v>
      </c>
      <c r="I3884" s="5" t="s">
        <v>9018</v>
      </c>
      <c r="J3884" s="12" t="str">
        <f>HYPERLINK("https://www.boe.es/gazeta/dias/1807/06/26/pdfs/GMD-1807-54.pdf#page=7","Abrir facsímil")</f>
        <v>Abrir facsímil</v>
      </c>
      <c r="K3884" s="15" t="s">
        <v>22</v>
      </c>
    </row>
    <row r="3885" spans="1:11" ht="42" customHeight="1">
      <c r="A3885" s="4" t="s">
        <v>9019</v>
      </c>
      <c r="B3885" s="5" t="s">
        <v>9020</v>
      </c>
      <c r="C3885" s="5" t="s">
        <v>28</v>
      </c>
      <c r="D3885" s="5" t="s">
        <v>29</v>
      </c>
      <c r="E3885" s="5" t="s">
        <v>111</v>
      </c>
      <c r="F3885" s="9">
        <v>90</v>
      </c>
      <c r="G3885" s="9">
        <v>1046</v>
      </c>
      <c r="H3885" s="5" t="s">
        <v>20</v>
      </c>
      <c r="I3885" s="5" t="s">
        <v>9021</v>
      </c>
      <c r="J3885" s="12" t="str">
        <f>HYPERLINK("https://www.boe.es/gazeta/dias/1807/10/06/pdfs/GMD-1807-90.pdf#page=14","Abrir facsímil")</f>
        <v>Abrir facsímil</v>
      </c>
      <c r="K3885" s="15" t="s">
        <v>22</v>
      </c>
    </row>
    <row r="3886" spans="1:11" ht="42" customHeight="1">
      <c r="A3886" s="4" t="s">
        <v>9022</v>
      </c>
      <c r="B3886" s="5" t="s">
        <v>9023</v>
      </c>
      <c r="C3886" s="5" t="s">
        <v>34</v>
      </c>
      <c r="D3886" s="5" t="s">
        <v>35</v>
      </c>
      <c r="E3886" s="5" t="s">
        <v>305</v>
      </c>
      <c r="F3886" s="9">
        <v>53</v>
      </c>
      <c r="G3886" s="9">
        <v>634</v>
      </c>
      <c r="H3886" s="5" t="s">
        <v>20</v>
      </c>
      <c r="I3886" s="5" t="s">
        <v>9024</v>
      </c>
      <c r="J3886" s="12" t="str">
        <f>HYPERLINK("https://www.boe.es/gazeta/dias/1807/06/23/pdfs/GMD-1807-53.pdf#page=8","Abrir facsímil")</f>
        <v>Abrir facsímil</v>
      </c>
      <c r="K3886" s="15" t="s">
        <v>22</v>
      </c>
    </row>
    <row r="3887" spans="1:11" ht="42" customHeight="1">
      <c r="A3887" s="4" t="s">
        <v>9025</v>
      </c>
      <c r="B3887" s="5" t="s">
        <v>9026</v>
      </c>
      <c r="C3887" s="5" t="s">
        <v>24</v>
      </c>
      <c r="D3887" s="5" t="s">
        <v>18</v>
      </c>
      <c r="E3887" s="5" t="s">
        <v>414</v>
      </c>
      <c r="F3887" s="9">
        <v>40</v>
      </c>
      <c r="G3887" s="9">
        <v>479</v>
      </c>
      <c r="H3887" s="5" t="s">
        <v>20</v>
      </c>
      <c r="I3887" s="5" t="s">
        <v>9027</v>
      </c>
      <c r="J3887" s="12" t="str">
        <f>HYPERLINK("https://www.boe.es/gazeta/dias/1807/05/08/pdfs/GMD-1807-40.pdf#page=9","Abrir facsímil")</f>
        <v>Abrir facsímil</v>
      </c>
      <c r="K3887" s="15" t="s">
        <v>22</v>
      </c>
    </row>
    <row r="3888" spans="1:11" ht="42" customHeight="1">
      <c r="A3888" s="4" t="s">
        <v>9028</v>
      </c>
      <c r="B3888" s="5" t="s">
        <v>9029</v>
      </c>
      <c r="C3888" s="5" t="s">
        <v>34</v>
      </c>
      <c r="D3888" s="5" t="s">
        <v>35</v>
      </c>
      <c r="E3888" s="5" t="s">
        <v>654</v>
      </c>
      <c r="F3888" s="9">
        <v>94</v>
      </c>
      <c r="G3888" s="9">
        <v>1093</v>
      </c>
      <c r="H3888" s="5" t="s">
        <v>20</v>
      </c>
      <c r="I3888" s="5" t="s">
        <v>9030</v>
      </c>
      <c r="J3888" s="12" t="str">
        <f>HYPERLINK("https://www.boe.es/gazeta/dias/1807/10/20/pdfs/GMD-1807-94.pdf#page=9","Abrir facsímil")</f>
        <v>Abrir facsímil</v>
      </c>
      <c r="K3888" s="15" t="s">
        <v>22</v>
      </c>
    </row>
    <row r="3889" spans="1:11" ht="42" customHeight="1">
      <c r="A3889" s="4" t="s">
        <v>9031</v>
      </c>
      <c r="B3889" s="5" t="s">
        <v>9031</v>
      </c>
      <c r="C3889" s="5" t="s">
        <v>89</v>
      </c>
      <c r="D3889" s="5" t="s">
        <v>90</v>
      </c>
      <c r="E3889" s="5" t="s">
        <v>76</v>
      </c>
      <c r="F3889" s="9">
        <v>7</v>
      </c>
      <c r="G3889" s="9">
        <v>73</v>
      </c>
      <c r="H3889" s="5" t="s">
        <v>20</v>
      </c>
      <c r="I3889" s="5" t="s">
        <v>9032</v>
      </c>
      <c r="J3889" s="12" t="str">
        <f>HYPERLINK("https://www.boe.es/gazeta/dias/1807/01/20/pdfs/GMD-1807-7.pdf#page=5","Abrir facsímil")</f>
        <v>Abrir facsímil</v>
      </c>
      <c r="K3889" s="15" t="s">
        <v>22</v>
      </c>
    </row>
    <row r="3890" spans="1:11" ht="42" customHeight="1">
      <c r="A3890" s="4" t="s">
        <v>9033</v>
      </c>
      <c r="B3890" s="5" t="s">
        <v>9034</v>
      </c>
      <c r="C3890" s="5" t="s">
        <v>28</v>
      </c>
      <c r="D3890" s="5" t="s">
        <v>29</v>
      </c>
      <c r="E3890" s="5" t="s">
        <v>245</v>
      </c>
      <c r="F3890" s="9">
        <v>97</v>
      </c>
      <c r="G3890" s="9">
        <v>1127</v>
      </c>
      <c r="H3890" s="5" t="s">
        <v>20</v>
      </c>
      <c r="I3890" s="5" t="s">
        <v>9035</v>
      </c>
      <c r="J3890" s="12" t="str">
        <f>HYPERLINK("https://www.boe.es/gazeta/dias/1807/10/30/pdfs/GMD-1807-97.pdf#page=7","Abrir facsímil")</f>
        <v>Abrir facsímil</v>
      </c>
      <c r="K3890" s="15" t="s">
        <v>22</v>
      </c>
    </row>
    <row r="3891" spans="1:11" ht="42" customHeight="1">
      <c r="A3891" s="4" t="s">
        <v>9036</v>
      </c>
      <c r="B3891" s="5" t="s">
        <v>9037</v>
      </c>
      <c r="C3891" s="5" t="s">
        <v>34</v>
      </c>
      <c r="D3891" s="5" t="s">
        <v>35</v>
      </c>
      <c r="E3891" s="5" t="s">
        <v>595</v>
      </c>
      <c r="F3891" s="9">
        <v>59</v>
      </c>
      <c r="G3891" s="9">
        <v>702</v>
      </c>
      <c r="H3891" s="5" t="s">
        <v>20</v>
      </c>
      <c r="I3891" s="5" t="s">
        <v>9038</v>
      </c>
      <c r="J3891" s="12" t="str">
        <f>HYPERLINK("https://www.boe.es/gazeta/dias/1807/07/10/pdfs/GMD-1807-59.pdf#page=8","Abrir facsímil")</f>
        <v>Abrir facsímil</v>
      </c>
      <c r="K3891" s="15" t="s">
        <v>22</v>
      </c>
    </row>
    <row r="3892" spans="1:11" ht="42" customHeight="1">
      <c r="A3892" s="4" t="s">
        <v>9039</v>
      </c>
      <c r="B3892" s="5" t="s">
        <v>9039</v>
      </c>
      <c r="C3892" s="5" t="s">
        <v>24</v>
      </c>
      <c r="D3892" s="5" t="s">
        <v>18</v>
      </c>
      <c r="E3892" s="5" t="s">
        <v>561</v>
      </c>
      <c r="F3892" s="9">
        <v>44</v>
      </c>
      <c r="G3892" s="9">
        <v>528</v>
      </c>
      <c r="H3892" s="5" t="s">
        <v>20</v>
      </c>
      <c r="I3892" s="5" t="s">
        <v>9040</v>
      </c>
      <c r="J3892" s="12" t="str">
        <f>HYPERLINK("https://www.boe.es/gazeta/dias/1807/05/22/pdfs/GMD-1807-44.pdf#page=10","Abrir facsímil")</f>
        <v>Abrir facsímil</v>
      </c>
      <c r="K3892" s="15" t="s">
        <v>22</v>
      </c>
    </row>
    <row r="3893" spans="1:11" ht="42" customHeight="1">
      <c r="A3893" s="4" t="s">
        <v>9041</v>
      </c>
      <c r="B3893" s="5" t="s">
        <v>9042</v>
      </c>
      <c r="C3893" s="5" t="s">
        <v>34</v>
      </c>
      <c r="D3893" s="5" t="s">
        <v>35</v>
      </c>
      <c r="E3893" s="5" t="s">
        <v>464</v>
      </c>
      <c r="F3893" s="9">
        <v>18</v>
      </c>
      <c r="G3893" s="9">
        <v>212</v>
      </c>
      <c r="H3893" s="5" t="s">
        <v>20</v>
      </c>
      <c r="I3893" s="5" t="s">
        <v>9043</v>
      </c>
      <c r="J3893" s="12" t="str">
        <f>HYPERLINK("https://www.boe.es/gazeta/dias/1807/02/24/pdfs/GMD-1807-18.pdf#page=12","Abrir facsímil")</f>
        <v>Abrir facsímil</v>
      </c>
      <c r="K3893" s="15" t="s">
        <v>22</v>
      </c>
    </row>
    <row r="3894" spans="1:11" ht="42" customHeight="1">
      <c r="A3894" s="4" t="s">
        <v>9044</v>
      </c>
      <c r="B3894" s="5" t="s">
        <v>9045</v>
      </c>
      <c r="C3894" s="5" t="s">
        <v>17</v>
      </c>
      <c r="D3894" s="5" t="s">
        <v>18</v>
      </c>
      <c r="E3894" s="5" t="s">
        <v>179</v>
      </c>
      <c r="F3894" s="9">
        <v>100</v>
      </c>
      <c r="G3894" s="9">
        <v>1164</v>
      </c>
      <c r="H3894" s="5" t="s">
        <v>20</v>
      </c>
      <c r="I3894" s="5" t="s">
        <v>9046</v>
      </c>
      <c r="J3894" s="12" t="str">
        <f>HYPERLINK("https://www.boe.es/gazeta/dias/1807/11/10/pdfs/GMD-1807-100.pdf#page=8","Abrir facsímil")</f>
        <v>Abrir facsímil</v>
      </c>
      <c r="K3894" s="15" t="s">
        <v>22</v>
      </c>
    </row>
    <row r="3895" spans="1:11" ht="42" customHeight="1">
      <c r="A3895" s="4" t="s">
        <v>9047</v>
      </c>
      <c r="B3895" s="5" t="s">
        <v>9048</v>
      </c>
      <c r="C3895" s="5" t="s">
        <v>34</v>
      </c>
      <c r="D3895" s="5" t="s">
        <v>35</v>
      </c>
      <c r="E3895" s="5" t="s">
        <v>346</v>
      </c>
      <c r="F3895" s="9">
        <v>21</v>
      </c>
      <c r="G3895" s="9">
        <v>244</v>
      </c>
      <c r="H3895" s="5" t="s">
        <v>20</v>
      </c>
      <c r="I3895" s="5" t="s">
        <v>9049</v>
      </c>
      <c r="J3895" s="12" t="str">
        <f>HYPERLINK("https://www.boe.es/gazeta/dias/1807/03/03/pdfs/GMD-1807-21.pdf#page=8","Abrir facsímil")</f>
        <v>Abrir facsímil</v>
      </c>
      <c r="K3895" s="15" t="s">
        <v>22</v>
      </c>
    </row>
    <row r="3896" spans="1:11" ht="42" customHeight="1">
      <c r="A3896" s="4" t="s">
        <v>9050</v>
      </c>
      <c r="B3896" s="5" t="s">
        <v>9051</v>
      </c>
      <c r="C3896" s="5" t="s">
        <v>17</v>
      </c>
      <c r="D3896" s="5" t="s">
        <v>18</v>
      </c>
      <c r="E3896" s="5" t="s">
        <v>156</v>
      </c>
      <c r="F3896" s="9">
        <v>74</v>
      </c>
      <c r="G3896" s="9">
        <v>859</v>
      </c>
      <c r="H3896" s="5" t="s">
        <v>20</v>
      </c>
      <c r="I3896" s="5" t="s">
        <v>9052</v>
      </c>
      <c r="J3896" s="12" t="str">
        <f>HYPERLINK("https://www.boe.es/gazeta/dias/1807/08/18/pdfs/GMD-1807-74.pdf#page=11","Abrir facsímil")</f>
        <v>Abrir facsímil</v>
      </c>
      <c r="K3896" s="15" t="s">
        <v>22</v>
      </c>
    </row>
    <row r="3897" spans="1:11" ht="42" customHeight="1">
      <c r="A3897" s="4" t="s">
        <v>9053</v>
      </c>
      <c r="B3897" s="5" t="s">
        <v>9053</v>
      </c>
      <c r="C3897" s="5" t="s">
        <v>28</v>
      </c>
      <c r="D3897" s="5" t="s">
        <v>29</v>
      </c>
      <c r="E3897" s="5" t="s">
        <v>152</v>
      </c>
      <c r="F3897" s="9">
        <v>61</v>
      </c>
      <c r="G3897" s="9">
        <v>721</v>
      </c>
      <c r="H3897" s="5" t="s">
        <v>20</v>
      </c>
      <c r="I3897" s="5" t="s">
        <v>9054</v>
      </c>
      <c r="J3897" s="12" t="str">
        <f>HYPERLINK("https://www.boe.es/gazeta/dias/1807/07/14/pdfs/GMD-1807-61.pdf#page=7","Abrir facsímil")</f>
        <v>Abrir facsímil</v>
      </c>
      <c r="K3897" s="15" t="s">
        <v>22</v>
      </c>
    </row>
    <row r="3898" spans="1:11" ht="42" customHeight="1">
      <c r="A3898" s="4" t="s">
        <v>9055</v>
      </c>
      <c r="B3898" s="5" t="s">
        <v>9056</v>
      </c>
      <c r="C3898" s="5" t="s">
        <v>28</v>
      </c>
      <c r="D3898" s="5" t="s">
        <v>29</v>
      </c>
      <c r="E3898" s="5" t="s">
        <v>94</v>
      </c>
      <c r="F3898" s="9">
        <v>22</v>
      </c>
      <c r="G3898" s="9">
        <v>254</v>
      </c>
      <c r="H3898" s="5" t="s">
        <v>20</v>
      </c>
      <c r="I3898" s="5" t="s">
        <v>9057</v>
      </c>
      <c r="J3898" s="12" t="str">
        <f>HYPERLINK("https://www.boe.es/gazeta/dias/1807/03/06/pdfs/GMD-1807-22.pdf#page=6","Abrir facsímil")</f>
        <v>Abrir facsímil</v>
      </c>
      <c r="K3898" s="15" t="s">
        <v>22</v>
      </c>
    </row>
    <row r="3899" spans="1:11" ht="42" customHeight="1">
      <c r="A3899" s="4" t="s">
        <v>9058</v>
      </c>
      <c r="B3899" s="5" t="s">
        <v>9059</v>
      </c>
      <c r="C3899" s="5" t="s">
        <v>34</v>
      </c>
      <c r="D3899" s="5" t="s">
        <v>35</v>
      </c>
      <c r="E3899" s="5" t="s">
        <v>414</v>
      </c>
      <c r="F3899" s="9">
        <v>40</v>
      </c>
      <c r="G3899" s="9">
        <v>475</v>
      </c>
      <c r="H3899" s="5" t="s">
        <v>20</v>
      </c>
      <c r="I3899" s="5" t="s">
        <v>9060</v>
      </c>
      <c r="J3899" s="12" t="str">
        <f>HYPERLINK("https://www.boe.es/gazeta/dias/1807/05/08/pdfs/GMD-1807-40.pdf#page=5","Abrir facsímil")</f>
        <v>Abrir facsímil</v>
      </c>
      <c r="K3899" s="15" t="s">
        <v>22</v>
      </c>
    </row>
    <row r="3900" spans="1:11" ht="42" customHeight="1">
      <c r="A3900" s="4" t="s">
        <v>9061</v>
      </c>
      <c r="B3900" s="5" t="s">
        <v>9062</v>
      </c>
      <c r="C3900" s="5" t="s">
        <v>34</v>
      </c>
      <c r="D3900" s="5" t="s">
        <v>35</v>
      </c>
      <c r="E3900" s="5" t="s">
        <v>183</v>
      </c>
      <c r="F3900" s="9">
        <v>1</v>
      </c>
      <c r="G3900" s="9">
        <v>11</v>
      </c>
      <c r="H3900" s="5" t="s">
        <v>20</v>
      </c>
      <c r="I3900" s="5" t="s">
        <v>9063</v>
      </c>
      <c r="J3900" s="12" t="str">
        <f>HYPERLINK("https://www.boe.es/gazeta/dias/1807/01/02/pdfs/GMD-1807-1.pdf#page=11","Abrir facsímil")</f>
        <v>Abrir facsímil</v>
      </c>
      <c r="K3900" s="15" t="s">
        <v>22</v>
      </c>
    </row>
    <row r="3901" spans="1:11" ht="42" customHeight="1">
      <c r="A3901" s="4" t="s">
        <v>9064</v>
      </c>
      <c r="B3901" s="5" t="s">
        <v>9064</v>
      </c>
      <c r="C3901" s="5" t="s">
        <v>34</v>
      </c>
      <c r="D3901" s="5" t="s">
        <v>35</v>
      </c>
      <c r="E3901" s="5" t="s">
        <v>81</v>
      </c>
      <c r="F3901" s="9">
        <v>49</v>
      </c>
      <c r="G3901" s="9">
        <v>583</v>
      </c>
      <c r="H3901" s="5" t="s">
        <v>20</v>
      </c>
      <c r="I3901" s="5" t="s">
        <v>9065</v>
      </c>
      <c r="J3901" s="12" t="str">
        <f>HYPERLINK("https://www.boe.es/gazeta/dias/1807/06/09/pdfs/GMD-1807-49.pdf#page=9","Abrir facsímil")</f>
        <v>Abrir facsímil</v>
      </c>
      <c r="K3901" s="15" t="s">
        <v>22</v>
      </c>
    </row>
    <row r="3902" spans="1:11" ht="42" customHeight="1">
      <c r="A3902" s="4" t="s">
        <v>9066</v>
      </c>
      <c r="B3902" s="5" t="s">
        <v>9066</v>
      </c>
      <c r="C3902" s="5" t="s">
        <v>49</v>
      </c>
      <c r="D3902" s="5" t="s">
        <v>50</v>
      </c>
      <c r="E3902" s="5" t="s">
        <v>221</v>
      </c>
      <c r="F3902" s="9">
        <v>73</v>
      </c>
      <c r="G3902" s="9">
        <v>841</v>
      </c>
      <c r="H3902" s="5" t="s">
        <v>20</v>
      </c>
      <c r="I3902" s="5" t="s">
        <v>9067</v>
      </c>
      <c r="J3902" s="12" t="str">
        <f>HYPERLINK("https://www.boe.es/gazeta/dias/1807/08/14/pdfs/GMD-1807-73.pdf#page=5","Abrir facsímil")</f>
        <v>Abrir facsímil</v>
      </c>
      <c r="K3902" s="15" t="s">
        <v>22</v>
      </c>
    </row>
    <row r="3903" spans="1:11" ht="42" customHeight="1">
      <c r="A3903" s="4" t="s">
        <v>9068</v>
      </c>
      <c r="B3903" s="5" t="s">
        <v>9069</v>
      </c>
      <c r="C3903" s="5" t="s">
        <v>28</v>
      </c>
      <c r="D3903" s="5" t="s">
        <v>29</v>
      </c>
      <c r="E3903" s="5" t="s">
        <v>98</v>
      </c>
      <c r="F3903" s="9">
        <v>34</v>
      </c>
      <c r="G3903" s="9">
        <v>406</v>
      </c>
      <c r="H3903" s="5" t="s">
        <v>20</v>
      </c>
      <c r="I3903" s="5" t="s">
        <v>9070</v>
      </c>
      <c r="J3903" s="12" t="str">
        <f>HYPERLINK("https://www.boe.es/gazeta/dias/1807/04/17/pdfs/GMD-1807-34.pdf#page=10","Abrir facsímil")</f>
        <v>Abrir facsímil</v>
      </c>
      <c r="K3903" s="15" t="s">
        <v>22</v>
      </c>
    </row>
    <row r="3904" spans="1:11" ht="42" customHeight="1">
      <c r="A3904" s="4" t="s">
        <v>9071</v>
      </c>
      <c r="B3904" s="5" t="s">
        <v>9072</v>
      </c>
      <c r="C3904" s="5" t="s">
        <v>34</v>
      </c>
      <c r="D3904" s="5" t="s">
        <v>35</v>
      </c>
      <c r="E3904" s="5" t="s">
        <v>111</v>
      </c>
      <c r="F3904" s="9">
        <v>90</v>
      </c>
      <c r="G3904" s="9">
        <v>1044</v>
      </c>
      <c r="H3904" s="5" t="s">
        <v>20</v>
      </c>
      <c r="I3904" s="5" t="s">
        <v>9073</v>
      </c>
      <c r="J3904" s="12" t="str">
        <f>HYPERLINK("https://www.boe.es/gazeta/dias/1807/10/06/pdfs/GMD-1807-90.pdf#page=12","Abrir facsímil")</f>
        <v>Abrir facsímil</v>
      </c>
      <c r="K3904" s="15" t="s">
        <v>22</v>
      </c>
    </row>
    <row r="3905" spans="1:11" ht="42" customHeight="1">
      <c r="A3905" s="4" t="s">
        <v>9074</v>
      </c>
      <c r="B3905" s="5" t="s">
        <v>9075</v>
      </c>
      <c r="C3905" s="5" t="s">
        <v>34</v>
      </c>
      <c r="D3905" s="5" t="s">
        <v>35</v>
      </c>
      <c r="E3905" s="5" t="s">
        <v>83</v>
      </c>
      <c r="F3905" s="9">
        <v>50</v>
      </c>
      <c r="G3905" s="9">
        <v>595</v>
      </c>
      <c r="H3905" s="5" t="s">
        <v>20</v>
      </c>
      <c r="I3905" s="5" t="s">
        <v>9076</v>
      </c>
      <c r="J3905" s="12" t="str">
        <f>HYPERLINK("https://www.boe.es/gazeta/dias/1807/06/12/pdfs/GMD-1807-50.pdf#page=9","Abrir facsímil")</f>
        <v>Abrir facsímil</v>
      </c>
      <c r="K3905" s="15" t="s">
        <v>22</v>
      </c>
    </row>
    <row r="3906" spans="1:11" ht="42" customHeight="1">
      <c r="A3906" s="4" t="s">
        <v>9077</v>
      </c>
      <c r="B3906" s="5" t="s">
        <v>9077</v>
      </c>
      <c r="C3906" s="5" t="s">
        <v>28</v>
      </c>
      <c r="D3906" s="5" t="s">
        <v>29</v>
      </c>
      <c r="E3906" s="5" t="s">
        <v>208</v>
      </c>
      <c r="F3906" s="9">
        <v>42</v>
      </c>
      <c r="G3906" s="9">
        <v>505</v>
      </c>
      <c r="H3906" s="5" t="s">
        <v>20</v>
      </c>
      <c r="I3906" s="5" t="s">
        <v>9078</v>
      </c>
      <c r="J3906" s="12" t="str">
        <f>HYPERLINK("https://www.boe.es/gazeta/dias/1807/05/15/pdfs/GMD-1807-42.pdf#page=11","Abrir facsímil")</f>
        <v>Abrir facsímil</v>
      </c>
      <c r="K3906" s="15" t="s">
        <v>22</v>
      </c>
    </row>
    <row r="3907" spans="1:11" ht="42" customHeight="1">
      <c r="A3907" s="4" t="s">
        <v>9079</v>
      </c>
      <c r="B3907" s="5" t="s">
        <v>9080</v>
      </c>
      <c r="C3907" s="5" t="s">
        <v>17</v>
      </c>
      <c r="D3907" s="5" t="s">
        <v>18</v>
      </c>
      <c r="E3907" s="5" t="s">
        <v>361</v>
      </c>
      <c r="F3907" s="9">
        <v>113</v>
      </c>
      <c r="G3907" s="9">
        <v>1322</v>
      </c>
      <c r="H3907" s="5" t="s">
        <v>20</v>
      </c>
      <c r="I3907" s="5" t="s">
        <v>9081</v>
      </c>
      <c r="J3907" s="12" t="str">
        <f>HYPERLINK("https://www.boe.es/gazeta/dias/1807/12/22/pdfs/GMD-1807-113.pdf#page=10","Abrir facsímil")</f>
        <v>Abrir facsímil</v>
      </c>
      <c r="K3907" s="15" t="s">
        <v>22</v>
      </c>
    </row>
    <row r="3908" spans="1:11" ht="42" customHeight="1">
      <c r="A3908" s="4" t="s">
        <v>9082</v>
      </c>
      <c r="B3908" s="5" t="s">
        <v>9082</v>
      </c>
      <c r="C3908" s="5" t="s">
        <v>34</v>
      </c>
      <c r="D3908" s="5" t="s">
        <v>35</v>
      </c>
      <c r="E3908" s="5" t="s">
        <v>176</v>
      </c>
      <c r="F3908" s="9">
        <v>17</v>
      </c>
      <c r="G3908" s="9">
        <v>195</v>
      </c>
      <c r="H3908" s="5" t="s">
        <v>20</v>
      </c>
      <c r="I3908" s="5" t="s">
        <v>9083</v>
      </c>
      <c r="J3908" s="12" t="str">
        <f>HYPERLINK("https://www.boe.es/gazeta/dias/1807/02/20/pdfs/GMD-1807-17.pdf#page=7","Abrir facsímil")</f>
        <v>Abrir facsímil</v>
      </c>
      <c r="K3908" s="15" t="s">
        <v>22</v>
      </c>
    </row>
    <row r="3909" spans="1:11" ht="42" customHeight="1">
      <c r="A3909" s="4" t="s">
        <v>9084</v>
      </c>
      <c r="B3909" s="5" t="s">
        <v>9085</v>
      </c>
      <c r="C3909" s="5" t="s">
        <v>34</v>
      </c>
      <c r="D3909" s="5" t="s">
        <v>35</v>
      </c>
      <c r="E3909" s="5" t="s">
        <v>505</v>
      </c>
      <c r="F3909" s="9">
        <v>47</v>
      </c>
      <c r="G3909" s="9">
        <v>561</v>
      </c>
      <c r="H3909" s="5" t="s">
        <v>20</v>
      </c>
      <c r="I3909" s="5" t="s">
        <v>9086</v>
      </c>
      <c r="J3909" s="12" t="str">
        <f>HYPERLINK("https://www.boe.es/gazeta/dias/1807/06/02/pdfs/GMD-1807-47.pdf#page=7","Abrir facsímil")</f>
        <v>Abrir facsímil</v>
      </c>
      <c r="K3909" s="15" t="s">
        <v>22</v>
      </c>
    </row>
    <row r="3910" spans="1:11" ht="42" customHeight="1">
      <c r="A3910" s="4" t="s">
        <v>9087</v>
      </c>
      <c r="B3910" s="5" t="s">
        <v>9087</v>
      </c>
      <c r="C3910" s="5" t="s">
        <v>34</v>
      </c>
      <c r="D3910" s="5" t="s">
        <v>35</v>
      </c>
      <c r="E3910" s="5" t="s">
        <v>183</v>
      </c>
      <c r="F3910" s="9">
        <v>1</v>
      </c>
      <c r="G3910" s="9">
        <v>11</v>
      </c>
      <c r="H3910" s="5" t="s">
        <v>20</v>
      </c>
      <c r="I3910" s="5" t="s">
        <v>9088</v>
      </c>
      <c r="J3910" s="12" t="str">
        <f>HYPERLINK("https://www.boe.es/gazeta/dias/1807/01/02/pdfs/GMD-1807-1.pdf#page=11","Abrir facsímil")</f>
        <v>Abrir facsímil</v>
      </c>
      <c r="K3910" s="15" t="s">
        <v>22</v>
      </c>
    </row>
    <row r="3911" spans="1:11" ht="42" customHeight="1">
      <c r="A3911" s="4" t="s">
        <v>9089</v>
      </c>
      <c r="B3911" s="5" t="s">
        <v>9089</v>
      </c>
      <c r="C3911" s="5" t="s">
        <v>69</v>
      </c>
      <c r="D3911" s="5" t="s">
        <v>70</v>
      </c>
      <c r="E3911" s="5" t="s">
        <v>71</v>
      </c>
      <c r="F3911" s="9">
        <v>35</v>
      </c>
      <c r="G3911" s="9" t="s">
        <v>197</v>
      </c>
      <c r="H3911" s="5" t="s">
        <v>20</v>
      </c>
      <c r="I3911" s="5" t="s">
        <v>9090</v>
      </c>
      <c r="J3911" s="12" t="str">
        <f>HYPERLINK("https://www.boe.es/gazeta/dias/1807/04/21/pdfs/C00001-00004.pdf#page=3","Abrir facsímil")</f>
        <v>Abrir facsímil</v>
      </c>
      <c r="K3911" s="15" t="s">
        <v>22</v>
      </c>
    </row>
    <row r="3912" spans="1:11" ht="42" customHeight="1">
      <c r="A3912" s="4" t="s">
        <v>9091</v>
      </c>
      <c r="B3912" s="5" t="s">
        <v>9091</v>
      </c>
      <c r="C3912" s="5" t="s">
        <v>89</v>
      </c>
      <c r="D3912" s="5" t="s">
        <v>90</v>
      </c>
      <c r="E3912" s="5" t="s">
        <v>418</v>
      </c>
      <c r="F3912" s="9">
        <v>4</v>
      </c>
      <c r="G3912" s="9">
        <v>44</v>
      </c>
      <c r="H3912" s="5" t="s">
        <v>20</v>
      </c>
      <c r="I3912" s="5" t="s">
        <v>9092</v>
      </c>
      <c r="J3912" s="12" t="str">
        <f>HYPERLINK("https://www.boe.es/gazeta/dias/1807/01/13/pdfs/GMD-1807-4.pdf#page=12","Abrir facsímil")</f>
        <v>Abrir facsímil</v>
      </c>
      <c r="K3912" s="15" t="s">
        <v>22</v>
      </c>
    </row>
    <row r="3913" spans="1:11" ht="42" customHeight="1">
      <c r="A3913" s="4" t="s">
        <v>9093</v>
      </c>
      <c r="B3913" s="5" t="s">
        <v>9093</v>
      </c>
      <c r="C3913" s="5" t="s">
        <v>24</v>
      </c>
      <c r="D3913" s="5" t="s">
        <v>18</v>
      </c>
      <c r="E3913" s="5" t="s">
        <v>1076</v>
      </c>
      <c r="F3913" s="9">
        <v>96</v>
      </c>
      <c r="G3913" s="9">
        <v>1119</v>
      </c>
      <c r="H3913" s="5" t="s">
        <v>20</v>
      </c>
      <c r="I3913" s="5" t="s">
        <v>9094</v>
      </c>
      <c r="J3913" s="12" t="str">
        <f>HYPERLINK("https://www.boe.es/gazeta/dias/1807/10/27/pdfs/GMD-1807-96.pdf#page=11","Abrir facsímil")</f>
        <v>Abrir facsímil</v>
      </c>
      <c r="K3913" s="15" t="s">
        <v>22</v>
      </c>
    </row>
    <row r="3914" spans="1:11" ht="42" customHeight="1">
      <c r="A3914" s="4" t="s">
        <v>9095</v>
      </c>
      <c r="B3914" s="5" t="s">
        <v>9096</v>
      </c>
      <c r="C3914" s="5" t="s">
        <v>24</v>
      </c>
      <c r="D3914" s="5" t="s">
        <v>18</v>
      </c>
      <c r="E3914" s="5" t="s">
        <v>259</v>
      </c>
      <c r="F3914" s="9">
        <v>3</v>
      </c>
      <c r="G3914" s="9">
        <v>30</v>
      </c>
      <c r="H3914" s="5" t="s">
        <v>20</v>
      </c>
      <c r="I3914" s="5" t="s">
        <v>9097</v>
      </c>
      <c r="J3914" s="12" t="str">
        <f>HYPERLINK("https://www.boe.es/gazeta/dias/1807/01/09/pdfs/GMD-1807-3.pdf#page=10","Abrir facsímil")</f>
        <v>Abrir facsímil</v>
      </c>
      <c r="K3914" s="15" t="s">
        <v>22</v>
      </c>
    </row>
    <row r="3915" spans="1:11" ht="42" customHeight="1">
      <c r="A3915" s="4" t="s">
        <v>9098</v>
      </c>
      <c r="B3915" s="5" t="s">
        <v>9098</v>
      </c>
      <c r="C3915" s="5" t="s">
        <v>34</v>
      </c>
      <c r="D3915" s="5" t="s">
        <v>35</v>
      </c>
      <c r="E3915" s="5" t="s">
        <v>215</v>
      </c>
      <c r="F3915" s="9">
        <v>5</v>
      </c>
      <c r="G3915" s="9">
        <v>51</v>
      </c>
      <c r="H3915" s="5" t="s">
        <v>20</v>
      </c>
      <c r="I3915" s="5" t="s">
        <v>9099</v>
      </c>
      <c r="J3915" s="12" t="str">
        <f>HYPERLINK("https://www.boe.es/gazeta/dias/1807/01/16/pdfs/GMD-1807-5.pdf#page=7","Abrir facsímil")</f>
        <v>Abrir facsímil</v>
      </c>
      <c r="K3915" s="15" t="s">
        <v>22</v>
      </c>
    </row>
    <row r="3916" spans="1:11" ht="42" customHeight="1">
      <c r="A3916" s="4" t="s">
        <v>9100</v>
      </c>
      <c r="B3916" s="5" t="s">
        <v>9100</v>
      </c>
      <c r="C3916" s="5" t="s">
        <v>28</v>
      </c>
      <c r="D3916" s="5" t="s">
        <v>29</v>
      </c>
      <c r="E3916" s="5" t="s">
        <v>76</v>
      </c>
      <c r="F3916" s="9">
        <v>7</v>
      </c>
      <c r="G3916" s="9">
        <v>74</v>
      </c>
      <c r="H3916" s="5" t="s">
        <v>20</v>
      </c>
      <c r="I3916" s="5" t="s">
        <v>9101</v>
      </c>
      <c r="J3916" s="12" t="str">
        <f>HYPERLINK("https://www.boe.es/gazeta/dias/1807/01/20/pdfs/GMD-1807-7.pdf#page=6","Abrir facsímil")</f>
        <v>Abrir facsímil</v>
      </c>
      <c r="K3916" s="15" t="s">
        <v>22</v>
      </c>
    </row>
    <row r="3917" spans="1:11" ht="42" customHeight="1">
      <c r="A3917" s="4" t="s">
        <v>9102</v>
      </c>
      <c r="B3917" s="5" t="s">
        <v>9103</v>
      </c>
      <c r="C3917" s="5" t="s">
        <v>28</v>
      </c>
      <c r="D3917" s="5" t="s">
        <v>29</v>
      </c>
      <c r="E3917" s="5" t="s">
        <v>221</v>
      </c>
      <c r="F3917" s="9">
        <v>73</v>
      </c>
      <c r="G3917" s="9">
        <v>845</v>
      </c>
      <c r="H3917" s="5" t="s">
        <v>20</v>
      </c>
      <c r="I3917" s="5" t="s">
        <v>9104</v>
      </c>
      <c r="J3917" s="12" t="str">
        <f>HYPERLINK("https://www.boe.es/gazeta/dias/1807/08/14/pdfs/GMD-1807-73.pdf#page=9","Abrir facsímil")</f>
        <v>Abrir facsímil</v>
      </c>
      <c r="K3917" s="15" t="s">
        <v>22</v>
      </c>
    </row>
    <row r="3918" spans="1:11" ht="42" customHeight="1">
      <c r="A3918" s="4" t="s">
        <v>9105</v>
      </c>
      <c r="B3918" s="5" t="s">
        <v>9105</v>
      </c>
      <c r="C3918" s="5" t="s">
        <v>17</v>
      </c>
      <c r="D3918" s="5" t="s">
        <v>18</v>
      </c>
      <c r="E3918" s="5" t="s">
        <v>530</v>
      </c>
      <c r="F3918" s="9">
        <v>79</v>
      </c>
      <c r="G3918" s="9">
        <v>924</v>
      </c>
      <c r="H3918" s="5" t="s">
        <v>20</v>
      </c>
      <c r="I3918" s="5" t="s">
        <v>9106</v>
      </c>
      <c r="J3918" s="12" t="str">
        <f>HYPERLINK("https://www.boe.es/gazeta/dias/1807/09/04/pdfs/GMD-1807-79.pdf#page=16","Abrir facsímil")</f>
        <v>Abrir facsímil</v>
      </c>
      <c r="K3918" s="15" t="s">
        <v>22</v>
      </c>
    </row>
    <row r="3919" spans="1:11" ht="42" customHeight="1">
      <c r="A3919" s="4" t="s">
        <v>9107</v>
      </c>
      <c r="B3919" s="5" t="s">
        <v>9108</v>
      </c>
      <c r="C3919" s="5" t="s">
        <v>34</v>
      </c>
      <c r="D3919" s="5" t="s">
        <v>35</v>
      </c>
      <c r="E3919" s="5" t="s">
        <v>561</v>
      </c>
      <c r="F3919" s="9">
        <v>44</v>
      </c>
      <c r="G3919" s="9">
        <v>524</v>
      </c>
      <c r="H3919" s="5" t="s">
        <v>20</v>
      </c>
      <c r="I3919" s="5" t="s">
        <v>9109</v>
      </c>
      <c r="J3919" s="12" t="str">
        <f>HYPERLINK("https://www.boe.es/gazeta/dias/1807/05/22/pdfs/GMD-1807-44.pdf#page=6","Abrir facsímil")</f>
        <v>Abrir facsímil</v>
      </c>
      <c r="K3919" s="15" t="s">
        <v>22</v>
      </c>
    </row>
    <row r="3920" spans="1:11" ht="42" customHeight="1">
      <c r="A3920" s="4" t="s">
        <v>9110</v>
      </c>
      <c r="B3920" s="5" t="s">
        <v>9110</v>
      </c>
      <c r="C3920" s="5" t="s">
        <v>17</v>
      </c>
      <c r="D3920" s="5" t="s">
        <v>18</v>
      </c>
      <c r="E3920" s="5" t="s">
        <v>123</v>
      </c>
      <c r="F3920" s="9">
        <v>70</v>
      </c>
      <c r="G3920" s="9">
        <v>806</v>
      </c>
      <c r="H3920" s="5" t="s">
        <v>20</v>
      </c>
      <c r="I3920" s="5" t="s">
        <v>9111</v>
      </c>
      <c r="J3920" s="12" t="str">
        <f>HYPERLINK("https://www.boe.es/gazeta/dias/1807/08/04/pdfs/GMD-1807-70.pdf#page=10","Abrir facsímil")</f>
        <v>Abrir facsímil</v>
      </c>
      <c r="K3920" s="15" t="s">
        <v>22</v>
      </c>
    </row>
    <row r="3921" spans="1:11" ht="42" customHeight="1">
      <c r="A3921" s="4" t="s">
        <v>9112</v>
      </c>
      <c r="B3921" s="5" t="s">
        <v>9113</v>
      </c>
      <c r="C3921" s="5" t="s">
        <v>34</v>
      </c>
      <c r="D3921" s="5" t="s">
        <v>35</v>
      </c>
      <c r="E3921" s="5" t="s">
        <v>441</v>
      </c>
      <c r="F3921" s="9">
        <v>92</v>
      </c>
      <c r="G3921" s="9">
        <v>1068</v>
      </c>
      <c r="H3921" s="5" t="s">
        <v>20</v>
      </c>
      <c r="I3921" s="5" t="s">
        <v>9114</v>
      </c>
      <c r="J3921" s="12" t="str">
        <f>HYPERLINK("https://www.boe.es/gazeta/dias/1807/10/13/pdfs/GMD-1807-92.pdf#page=8","Abrir facsímil")</f>
        <v>Abrir facsímil</v>
      </c>
      <c r="K3921" s="15" t="s">
        <v>22</v>
      </c>
    </row>
    <row r="3922" spans="1:11" ht="42" customHeight="1">
      <c r="A3922" s="4" t="s">
        <v>9115</v>
      </c>
      <c r="B3922" s="5" t="s">
        <v>9115</v>
      </c>
      <c r="C3922" s="5" t="s">
        <v>34</v>
      </c>
      <c r="D3922" s="5" t="s">
        <v>35</v>
      </c>
      <c r="E3922" s="5" t="s">
        <v>135</v>
      </c>
      <c r="F3922" s="9">
        <v>80</v>
      </c>
      <c r="G3922" s="9">
        <v>932</v>
      </c>
      <c r="H3922" s="5" t="s">
        <v>20</v>
      </c>
      <c r="I3922" s="5" t="s">
        <v>9116</v>
      </c>
      <c r="J3922" s="12" t="str">
        <f>HYPERLINK("https://www.boe.es/gazeta/dias/1807/09/08/pdfs/GMD-1807-80.pdf#page=8","Abrir facsímil")</f>
        <v>Abrir facsímil</v>
      </c>
      <c r="K3922" s="15" t="s">
        <v>22</v>
      </c>
    </row>
    <row r="3923" spans="1:11" ht="42" customHeight="1">
      <c r="A3923" s="4" t="s">
        <v>9117</v>
      </c>
      <c r="B3923" s="5" t="s">
        <v>9117</v>
      </c>
      <c r="C3923" s="5" t="s">
        <v>17</v>
      </c>
      <c r="D3923" s="5" t="s">
        <v>18</v>
      </c>
      <c r="E3923" s="5" t="s">
        <v>350</v>
      </c>
      <c r="F3923" s="9">
        <v>112</v>
      </c>
      <c r="G3923" s="9">
        <v>1310</v>
      </c>
      <c r="H3923" s="5" t="s">
        <v>20</v>
      </c>
      <c r="I3923" s="5" t="s">
        <v>9118</v>
      </c>
      <c r="J3923" s="12" t="str">
        <f>HYPERLINK("https://www.boe.es/gazeta/dias/1807/12/18/pdfs/GMD-1807-112.pdf#page=10","Abrir facsímil")</f>
        <v>Abrir facsímil</v>
      </c>
      <c r="K3923" s="15" t="s">
        <v>22</v>
      </c>
    </row>
    <row r="3924" spans="1:11" ht="42" customHeight="1">
      <c r="A3924" s="4" t="s">
        <v>9119</v>
      </c>
      <c r="B3924" s="5" t="s">
        <v>9119</v>
      </c>
      <c r="C3924" s="5" t="s">
        <v>34</v>
      </c>
      <c r="D3924" s="5" t="s">
        <v>35</v>
      </c>
      <c r="E3924" s="5" t="s">
        <v>620</v>
      </c>
      <c r="F3924" s="9">
        <v>84</v>
      </c>
      <c r="G3924" s="9">
        <v>981</v>
      </c>
      <c r="H3924" s="5" t="s">
        <v>20</v>
      </c>
      <c r="I3924" s="5" t="s">
        <v>9120</v>
      </c>
      <c r="J3924" s="12" t="str">
        <f>HYPERLINK("https://www.boe.es/gazeta/dias/1807/09/22/pdfs/GMD-1807-84.pdf#page=9","Abrir facsímil")</f>
        <v>Abrir facsímil</v>
      </c>
      <c r="K3924" s="15" t="s">
        <v>22</v>
      </c>
    </row>
    <row r="3925" spans="1:11" ht="42" customHeight="1">
      <c r="A3925" s="4" t="s">
        <v>9121</v>
      </c>
      <c r="B3925" s="5" t="s">
        <v>9121</v>
      </c>
      <c r="C3925" s="5" t="s">
        <v>24</v>
      </c>
      <c r="D3925" s="5" t="s">
        <v>18</v>
      </c>
      <c r="E3925" s="5" t="s">
        <v>42</v>
      </c>
      <c r="F3925" s="9">
        <v>31</v>
      </c>
      <c r="G3925" s="9">
        <v>371</v>
      </c>
      <c r="H3925" s="5" t="s">
        <v>20</v>
      </c>
      <c r="I3925" s="5" t="s">
        <v>9122</v>
      </c>
      <c r="J3925" s="12" t="str">
        <f>HYPERLINK("https://www.boe.es/gazeta/dias/1807/04/07/pdfs/GMD-1807-31.pdf#page=11","Abrir facsímil")</f>
        <v>Abrir facsímil</v>
      </c>
      <c r="K3925" s="15" t="s">
        <v>22</v>
      </c>
    </row>
    <row r="3926" spans="1:11" ht="42" customHeight="1">
      <c r="A3926" s="4" t="s">
        <v>9123</v>
      </c>
      <c r="B3926" s="5" t="s">
        <v>9123</v>
      </c>
      <c r="C3926" s="5" t="s">
        <v>17</v>
      </c>
      <c r="D3926" s="5" t="s">
        <v>18</v>
      </c>
      <c r="E3926" s="5" t="s">
        <v>275</v>
      </c>
      <c r="F3926" s="9">
        <v>104</v>
      </c>
      <c r="G3926" s="9">
        <v>1213</v>
      </c>
      <c r="H3926" s="5" t="s">
        <v>20</v>
      </c>
      <c r="I3926" s="5" t="s">
        <v>9124</v>
      </c>
      <c r="J3926" s="12" t="str">
        <f>HYPERLINK("https://www.boe.es/gazeta/dias/1807/11/24/pdfs/GMD-1807-104.pdf#page=9","Abrir facsímil")</f>
        <v>Abrir facsímil</v>
      </c>
      <c r="K3926" s="15" t="s">
        <v>22</v>
      </c>
    </row>
    <row r="3927" spans="1:11" ht="42" customHeight="1">
      <c r="A3927" s="4" t="s">
        <v>9125</v>
      </c>
      <c r="B3927" s="5" t="s">
        <v>9125</v>
      </c>
      <c r="C3927" s="5" t="s">
        <v>17</v>
      </c>
      <c r="D3927" s="5" t="s">
        <v>18</v>
      </c>
      <c r="E3927" s="5" t="s">
        <v>620</v>
      </c>
      <c r="F3927" s="9">
        <v>84</v>
      </c>
      <c r="G3927" s="9">
        <v>982</v>
      </c>
      <c r="H3927" s="5" t="s">
        <v>20</v>
      </c>
      <c r="I3927" s="5" t="s">
        <v>9126</v>
      </c>
      <c r="J3927" s="12" t="str">
        <f>HYPERLINK("https://www.boe.es/gazeta/dias/1807/09/22/pdfs/GMD-1807-84.pdf#page=10","Abrir facsímil")</f>
        <v>Abrir facsímil</v>
      </c>
      <c r="K3927" s="15" t="s">
        <v>22</v>
      </c>
    </row>
    <row r="3928" spans="1:11" ht="42" customHeight="1">
      <c r="A3928" s="4" t="s">
        <v>9127</v>
      </c>
      <c r="B3928" s="5" t="s">
        <v>9127</v>
      </c>
      <c r="C3928" s="5" t="s">
        <v>17</v>
      </c>
      <c r="D3928" s="5" t="s">
        <v>18</v>
      </c>
      <c r="E3928" s="5" t="s">
        <v>406</v>
      </c>
      <c r="F3928" s="9">
        <v>82</v>
      </c>
      <c r="G3928" s="9">
        <v>956</v>
      </c>
      <c r="H3928" s="5" t="s">
        <v>20</v>
      </c>
      <c r="I3928" s="5" t="s">
        <v>9128</v>
      </c>
      <c r="J3928" s="12" t="str">
        <f>HYPERLINK("https://www.boe.es/gazeta/dias/1807/09/15/pdfs/GMD-1807-82.pdf#page=8","Abrir facsímil")</f>
        <v>Abrir facsímil</v>
      </c>
      <c r="K3928" s="15" t="s">
        <v>22</v>
      </c>
    </row>
    <row r="3929" spans="1:11" ht="42" customHeight="1">
      <c r="A3929" s="4" t="s">
        <v>9129</v>
      </c>
      <c r="B3929" s="5" t="s">
        <v>9130</v>
      </c>
      <c r="C3929" s="5" t="s">
        <v>17</v>
      </c>
      <c r="D3929" s="5" t="s">
        <v>18</v>
      </c>
      <c r="E3929" s="5" t="s">
        <v>176</v>
      </c>
      <c r="F3929" s="9">
        <v>17</v>
      </c>
      <c r="G3929" s="9">
        <v>195</v>
      </c>
      <c r="H3929" s="5" t="s">
        <v>20</v>
      </c>
      <c r="I3929" s="5" t="s">
        <v>9131</v>
      </c>
      <c r="J3929" s="12" t="str">
        <f>HYPERLINK("https://www.boe.es/gazeta/dias/1807/02/20/pdfs/GMD-1807-17.pdf#page=7","Abrir facsímil")</f>
        <v>Abrir facsímil</v>
      </c>
      <c r="K3929" s="15" t="s">
        <v>22</v>
      </c>
    </row>
    <row r="3930" spans="1:11" ht="42" customHeight="1">
      <c r="A3930" s="4" t="s">
        <v>9132</v>
      </c>
      <c r="B3930" s="5" t="s">
        <v>9133</v>
      </c>
      <c r="C3930" s="5" t="s">
        <v>49</v>
      </c>
      <c r="D3930" s="5" t="s">
        <v>50</v>
      </c>
      <c r="E3930" s="5" t="s">
        <v>109</v>
      </c>
      <c r="F3930" s="9">
        <v>58</v>
      </c>
      <c r="G3930" s="9">
        <v>687</v>
      </c>
      <c r="H3930" s="5" t="s">
        <v>20</v>
      </c>
      <c r="I3930" s="5" t="s">
        <v>9134</v>
      </c>
      <c r="J3930" s="12" t="str">
        <f>HYPERLINK("https://www.boe.es/gazeta/dias/1807/07/07/pdfs/GMD-1807-58.pdf#page=5","Abrir facsímil")</f>
        <v>Abrir facsímil</v>
      </c>
      <c r="K3930" s="15" t="s">
        <v>22</v>
      </c>
    </row>
    <row r="3931" spans="1:11" ht="42" customHeight="1">
      <c r="A3931" s="4" t="s">
        <v>9135</v>
      </c>
      <c r="B3931" s="5" t="s">
        <v>9135</v>
      </c>
      <c r="C3931" s="5" t="s">
        <v>34</v>
      </c>
      <c r="D3931" s="5" t="s">
        <v>35</v>
      </c>
      <c r="E3931" s="5" t="s">
        <v>186</v>
      </c>
      <c r="F3931" s="9">
        <v>72</v>
      </c>
      <c r="G3931" s="9">
        <v>828</v>
      </c>
      <c r="H3931" s="5" t="s">
        <v>20</v>
      </c>
      <c r="I3931" s="5" t="s">
        <v>9136</v>
      </c>
      <c r="J3931" s="12" t="str">
        <f>HYPERLINK("https://www.boe.es/gazeta/dias/1807/08/11/pdfs/GMD-1807-72.pdf#page=8","Abrir facsímil")</f>
        <v>Abrir facsímil</v>
      </c>
      <c r="K3931" s="15" t="s">
        <v>22</v>
      </c>
    </row>
    <row r="3932" spans="1:11" ht="42" customHeight="1">
      <c r="A3932" s="4" t="s">
        <v>9137</v>
      </c>
      <c r="B3932" s="5" t="s">
        <v>9138</v>
      </c>
      <c r="C3932" s="5" t="s">
        <v>34</v>
      </c>
      <c r="D3932" s="5" t="s">
        <v>35</v>
      </c>
      <c r="E3932" s="5" t="s">
        <v>309</v>
      </c>
      <c r="F3932" s="9">
        <v>107</v>
      </c>
      <c r="G3932" s="9">
        <v>1247</v>
      </c>
      <c r="H3932" s="5" t="s">
        <v>20</v>
      </c>
      <c r="I3932" s="5" t="s">
        <v>9139</v>
      </c>
      <c r="J3932" s="12" t="str">
        <f>HYPERLINK("https://www.boe.es/gazeta/dias/1807/12/01/pdfs/GMD-1807-107.pdf#page=7","Abrir facsímil")</f>
        <v>Abrir facsímil</v>
      </c>
      <c r="K3932" s="15" t="s">
        <v>22</v>
      </c>
    </row>
    <row r="3933" spans="1:11" ht="42" customHeight="1">
      <c r="A3933" s="4" t="s">
        <v>9140</v>
      </c>
      <c r="B3933" s="5" t="s">
        <v>9141</v>
      </c>
      <c r="C3933" s="5" t="s">
        <v>34</v>
      </c>
      <c r="D3933" s="5" t="s">
        <v>35</v>
      </c>
      <c r="E3933" s="5" t="s">
        <v>595</v>
      </c>
      <c r="F3933" s="9">
        <v>59</v>
      </c>
      <c r="G3933" s="9">
        <v>703</v>
      </c>
      <c r="H3933" s="5" t="s">
        <v>20</v>
      </c>
      <c r="I3933" s="5" t="s">
        <v>9142</v>
      </c>
      <c r="J3933" s="12" t="str">
        <f>HYPERLINK("https://www.boe.es/gazeta/dias/1807/07/10/pdfs/GMD-1807-59.pdf#page=9","Abrir facsímil")</f>
        <v>Abrir facsímil</v>
      </c>
      <c r="K3933" s="15" t="s">
        <v>22</v>
      </c>
    </row>
    <row r="3934" spans="1:11" ht="42" customHeight="1">
      <c r="A3934" s="4" t="s">
        <v>9143</v>
      </c>
      <c r="B3934" s="5" t="s">
        <v>9144</v>
      </c>
      <c r="C3934" s="5" t="s">
        <v>28</v>
      </c>
      <c r="D3934" s="5" t="s">
        <v>29</v>
      </c>
      <c r="E3934" s="5" t="s">
        <v>208</v>
      </c>
      <c r="F3934" s="9">
        <v>42</v>
      </c>
      <c r="G3934" s="9">
        <v>502</v>
      </c>
      <c r="H3934" s="5" t="s">
        <v>20</v>
      </c>
      <c r="I3934" s="5" t="s">
        <v>9145</v>
      </c>
      <c r="J3934" s="12" t="str">
        <f>HYPERLINK("https://www.boe.es/gazeta/dias/1807/05/15/pdfs/GMD-1807-42.pdf#page=8","Abrir facsímil")</f>
        <v>Abrir facsímil</v>
      </c>
      <c r="K3934" s="15" t="s">
        <v>22</v>
      </c>
    </row>
    <row r="3935" spans="1:11" ht="42" customHeight="1">
      <c r="A3935" s="4" t="s">
        <v>9146</v>
      </c>
      <c r="B3935" s="5" t="s">
        <v>9147</v>
      </c>
      <c r="C3935" s="5" t="s">
        <v>69</v>
      </c>
      <c r="D3935" s="5" t="s">
        <v>70</v>
      </c>
      <c r="E3935" s="5" t="s">
        <v>71</v>
      </c>
      <c r="F3935" s="9">
        <v>35</v>
      </c>
      <c r="G3935" s="9" t="s">
        <v>2055</v>
      </c>
      <c r="H3935" s="5" t="s">
        <v>20</v>
      </c>
      <c r="I3935" s="5" t="s">
        <v>9148</v>
      </c>
      <c r="J3935" s="12" t="str">
        <f>HYPERLINK("https://www.boe.es/gazeta/dias/1807/04/21/pdfs/C00001-00004.pdf#page=2","Abrir facsímil")</f>
        <v>Abrir facsímil</v>
      </c>
      <c r="K3935" s="15" t="s">
        <v>22</v>
      </c>
    </row>
    <row r="3936" spans="1:11" ht="42" customHeight="1">
      <c r="A3936" s="4" t="s">
        <v>9149</v>
      </c>
      <c r="B3936" s="5" t="s">
        <v>9149</v>
      </c>
      <c r="C3936" s="5" t="s">
        <v>28</v>
      </c>
      <c r="D3936" s="5" t="s">
        <v>29</v>
      </c>
      <c r="E3936" s="5" t="s">
        <v>94</v>
      </c>
      <c r="F3936" s="9">
        <v>22</v>
      </c>
      <c r="G3936" s="9">
        <v>255</v>
      </c>
      <c r="H3936" s="5" t="s">
        <v>20</v>
      </c>
      <c r="I3936" s="5" t="s">
        <v>9150</v>
      </c>
      <c r="J3936" s="12" t="str">
        <f>HYPERLINK("https://www.boe.es/gazeta/dias/1807/03/06/pdfs/GMD-1807-22.pdf#page=7","Abrir facsímil")</f>
        <v>Abrir facsímil</v>
      </c>
      <c r="K3936" s="15" t="s">
        <v>22</v>
      </c>
    </row>
    <row r="3937" spans="1:11" ht="42" customHeight="1">
      <c r="A3937" s="4" t="s">
        <v>9151</v>
      </c>
      <c r="B3937" s="5" t="s">
        <v>9151</v>
      </c>
      <c r="C3937" s="5" t="s">
        <v>34</v>
      </c>
      <c r="D3937" s="5" t="s">
        <v>35</v>
      </c>
      <c r="E3937" s="5" t="s">
        <v>530</v>
      </c>
      <c r="F3937" s="9">
        <v>79</v>
      </c>
      <c r="G3937" s="9">
        <v>918</v>
      </c>
      <c r="H3937" s="5" t="s">
        <v>20</v>
      </c>
      <c r="I3937" s="5" t="s">
        <v>9152</v>
      </c>
      <c r="J3937" s="12" t="str">
        <f>HYPERLINK("https://www.boe.es/gazeta/dias/1807/09/04/pdfs/GMD-1807-79.pdf#page=10","Abrir facsímil")</f>
        <v>Abrir facsímil</v>
      </c>
      <c r="K3937" s="15" t="s">
        <v>22</v>
      </c>
    </row>
    <row r="3938" spans="1:11" ht="42" customHeight="1">
      <c r="A3938" s="4" t="s">
        <v>9153</v>
      </c>
      <c r="B3938" s="5" t="s">
        <v>9153</v>
      </c>
      <c r="C3938" s="5" t="s">
        <v>34</v>
      </c>
      <c r="D3938" s="5" t="s">
        <v>35</v>
      </c>
      <c r="E3938" s="5" t="s">
        <v>471</v>
      </c>
      <c r="F3938" s="9">
        <v>51</v>
      </c>
      <c r="G3938" s="9">
        <v>606</v>
      </c>
      <c r="H3938" s="5" t="s">
        <v>20</v>
      </c>
      <c r="I3938" s="5" t="s">
        <v>9154</v>
      </c>
      <c r="J3938" s="12" t="str">
        <f>HYPERLINK("https://www.boe.es/gazeta/dias/1807/06/16/pdfs/GMD-1807-51.pdf#page=8","Abrir facsímil")</f>
        <v>Abrir facsímil</v>
      </c>
      <c r="K3938" s="15" t="s">
        <v>22</v>
      </c>
    </row>
    <row r="3939" spans="1:11" ht="42" customHeight="1">
      <c r="A3939" s="4" t="s">
        <v>9155</v>
      </c>
      <c r="B3939" s="5" t="s">
        <v>9155</v>
      </c>
      <c r="C3939" s="5" t="s">
        <v>34</v>
      </c>
      <c r="D3939" s="5" t="s">
        <v>35</v>
      </c>
      <c r="E3939" s="5" t="s">
        <v>259</v>
      </c>
      <c r="F3939" s="9">
        <v>3</v>
      </c>
      <c r="G3939" s="9">
        <v>27</v>
      </c>
      <c r="H3939" s="5" t="s">
        <v>20</v>
      </c>
      <c r="I3939" s="5" t="s">
        <v>9156</v>
      </c>
      <c r="J3939" s="12" t="str">
        <f>HYPERLINK("https://www.boe.es/gazeta/dias/1807/01/09/pdfs/GMD-1807-3.pdf#page=7","Abrir facsímil")</f>
        <v>Abrir facsímil</v>
      </c>
      <c r="K3939" s="15" t="s">
        <v>22</v>
      </c>
    </row>
    <row r="3940" spans="1:11" ht="42" customHeight="1">
      <c r="A3940" s="4" t="s">
        <v>9157</v>
      </c>
      <c r="B3940" s="5" t="s">
        <v>9158</v>
      </c>
      <c r="C3940" s="5" t="s">
        <v>17</v>
      </c>
      <c r="D3940" s="5" t="s">
        <v>18</v>
      </c>
      <c r="E3940" s="5" t="s">
        <v>131</v>
      </c>
      <c r="F3940" s="9">
        <v>28</v>
      </c>
      <c r="G3940" s="9">
        <v>334</v>
      </c>
      <c r="H3940" s="5" t="s">
        <v>20</v>
      </c>
      <c r="I3940" s="5" t="s">
        <v>9159</v>
      </c>
      <c r="J3940" s="12" t="str">
        <f>HYPERLINK("https://www.boe.es/gazeta/dias/1807/03/27/pdfs/GMD-1807-28.pdf#page=6","Abrir facsímil")</f>
        <v>Abrir facsímil</v>
      </c>
      <c r="K3940" s="15" t="s">
        <v>22</v>
      </c>
    </row>
    <row r="3941" spans="1:11" ht="42" customHeight="1">
      <c r="A3941" s="4" t="s">
        <v>9160</v>
      </c>
      <c r="B3941" s="5" t="s">
        <v>9161</v>
      </c>
      <c r="C3941" s="5" t="s">
        <v>17</v>
      </c>
      <c r="D3941" s="5" t="s">
        <v>18</v>
      </c>
      <c r="E3941" s="5" t="s">
        <v>156</v>
      </c>
      <c r="F3941" s="9">
        <v>74</v>
      </c>
      <c r="G3941" s="9">
        <v>856</v>
      </c>
      <c r="H3941" s="5" t="s">
        <v>20</v>
      </c>
      <c r="I3941" s="5" t="s">
        <v>9162</v>
      </c>
      <c r="J3941" s="12" t="str">
        <f>HYPERLINK("https://www.boe.es/gazeta/dias/1807/08/18/pdfs/GMD-1807-74.pdf#page=8","Abrir facsímil")</f>
        <v>Abrir facsímil</v>
      </c>
      <c r="K3941" s="15" t="s">
        <v>22</v>
      </c>
    </row>
    <row r="3942" spans="1:11" ht="42" customHeight="1">
      <c r="A3942" s="4" t="s">
        <v>9163</v>
      </c>
      <c r="B3942" s="5" t="s">
        <v>9163</v>
      </c>
      <c r="C3942" s="5" t="s">
        <v>69</v>
      </c>
      <c r="D3942" s="5" t="s">
        <v>70</v>
      </c>
      <c r="E3942" s="5" t="s">
        <v>71</v>
      </c>
      <c r="F3942" s="9">
        <v>35</v>
      </c>
      <c r="G3942" s="9" t="s">
        <v>197</v>
      </c>
      <c r="H3942" s="5" t="s">
        <v>20</v>
      </c>
      <c r="I3942" s="5" t="s">
        <v>9164</v>
      </c>
      <c r="J3942" s="12" t="str">
        <f>HYPERLINK("https://www.boe.es/gazeta/dias/1807/04/21/pdfs/C00001-00004.pdf#page=3","Abrir facsímil")</f>
        <v>Abrir facsímil</v>
      </c>
      <c r="K3942" s="15" t="s">
        <v>22</v>
      </c>
    </row>
    <row r="3943" spans="1:11" ht="42" customHeight="1">
      <c r="A3943" s="4" t="s">
        <v>9165</v>
      </c>
      <c r="B3943" s="5" t="s">
        <v>9166</v>
      </c>
      <c r="C3943" s="5" t="s">
        <v>28</v>
      </c>
      <c r="D3943" s="5" t="s">
        <v>29</v>
      </c>
      <c r="E3943" s="5" t="s">
        <v>346</v>
      </c>
      <c r="F3943" s="9">
        <v>21</v>
      </c>
      <c r="G3943" s="9">
        <v>246</v>
      </c>
      <c r="H3943" s="5" t="s">
        <v>20</v>
      </c>
      <c r="I3943" s="5" t="s">
        <v>9167</v>
      </c>
      <c r="J3943" s="12" t="str">
        <f>HYPERLINK("https://www.boe.es/gazeta/dias/1807/03/03/pdfs/GMD-1807-21.pdf#page=10","Abrir facsímil")</f>
        <v>Abrir facsímil</v>
      </c>
      <c r="K3943" s="15" t="s">
        <v>22</v>
      </c>
    </row>
    <row r="3944" spans="1:11" ht="42" customHeight="1">
      <c r="A3944" s="4" t="s">
        <v>9168</v>
      </c>
      <c r="B3944" s="5" t="s">
        <v>9169</v>
      </c>
      <c r="C3944" s="5" t="s">
        <v>34</v>
      </c>
      <c r="D3944" s="5" t="s">
        <v>35</v>
      </c>
      <c r="E3944" s="5" t="s">
        <v>30</v>
      </c>
      <c r="F3944" s="9">
        <v>13</v>
      </c>
      <c r="G3944" s="9">
        <v>149</v>
      </c>
      <c r="H3944" s="5" t="s">
        <v>20</v>
      </c>
      <c r="I3944" s="5" t="s">
        <v>9170</v>
      </c>
      <c r="J3944" s="12" t="str">
        <f>HYPERLINK("https://www.boe.es/gazeta/dias/1807/02/06/pdfs/GMD-1807-13.pdf#page=9","Abrir facsímil")</f>
        <v>Abrir facsímil</v>
      </c>
      <c r="K3944" s="15" t="s">
        <v>22</v>
      </c>
    </row>
    <row r="3945" spans="1:11" ht="42" customHeight="1">
      <c r="A3945" s="4" t="s">
        <v>9171</v>
      </c>
      <c r="B3945" s="5" t="s">
        <v>9172</v>
      </c>
      <c r="C3945" s="5" t="s">
        <v>28</v>
      </c>
      <c r="D3945" s="5" t="s">
        <v>29</v>
      </c>
      <c r="E3945" s="5" t="s">
        <v>346</v>
      </c>
      <c r="F3945" s="9">
        <v>21</v>
      </c>
      <c r="G3945" s="9">
        <v>246</v>
      </c>
      <c r="H3945" s="5" t="s">
        <v>20</v>
      </c>
      <c r="I3945" s="5" t="s">
        <v>9173</v>
      </c>
      <c r="J3945" s="12" t="str">
        <f>HYPERLINK("https://www.boe.es/gazeta/dias/1807/03/03/pdfs/GMD-1807-21.pdf#page=10","Abrir facsímil")</f>
        <v>Abrir facsímil</v>
      </c>
      <c r="K3945" s="15" t="s">
        <v>22</v>
      </c>
    </row>
    <row r="3946" spans="1:11" ht="42" customHeight="1">
      <c r="A3946" s="4" t="s">
        <v>9171</v>
      </c>
      <c r="B3946" s="5" t="s">
        <v>9172</v>
      </c>
      <c r="C3946" s="5" t="s">
        <v>34</v>
      </c>
      <c r="D3946" s="5" t="s">
        <v>35</v>
      </c>
      <c r="E3946" s="5" t="s">
        <v>595</v>
      </c>
      <c r="F3946" s="9">
        <v>59</v>
      </c>
      <c r="G3946" s="9">
        <v>702</v>
      </c>
      <c r="H3946" s="5" t="s">
        <v>20</v>
      </c>
      <c r="I3946" s="5" t="s">
        <v>9174</v>
      </c>
      <c r="J3946" s="12" t="str">
        <f>HYPERLINK("https://www.boe.es/gazeta/dias/1807/07/10/pdfs/GMD-1807-59.pdf#page=8","Abrir facsímil")</f>
        <v>Abrir facsímil</v>
      </c>
      <c r="K3946" s="15" t="s">
        <v>22</v>
      </c>
    </row>
    <row r="3947" spans="1:11" ht="42" customHeight="1">
      <c r="A3947" s="4" t="s">
        <v>9175</v>
      </c>
      <c r="B3947" s="5" t="s">
        <v>9176</v>
      </c>
      <c r="C3947" s="5" t="s">
        <v>17</v>
      </c>
      <c r="D3947" s="5" t="s">
        <v>18</v>
      </c>
      <c r="E3947" s="5" t="s">
        <v>190</v>
      </c>
      <c r="F3947" s="9">
        <v>37</v>
      </c>
      <c r="G3947" s="9">
        <v>440</v>
      </c>
      <c r="H3947" s="5" t="s">
        <v>20</v>
      </c>
      <c r="I3947" s="5" t="s">
        <v>9177</v>
      </c>
      <c r="J3947" s="12" t="str">
        <f>HYPERLINK("https://www.boe.es/gazeta/dias/1807/04/28/pdfs/GMD-1807-37.pdf#page=8","Abrir facsímil")</f>
        <v>Abrir facsímil</v>
      </c>
      <c r="K3947" s="15" t="s">
        <v>22</v>
      </c>
    </row>
    <row r="3948" spans="1:11" ht="42" customHeight="1">
      <c r="A3948" s="4" t="s">
        <v>9178</v>
      </c>
      <c r="B3948" s="5" t="s">
        <v>9179</v>
      </c>
      <c r="C3948" s="5" t="s">
        <v>34</v>
      </c>
      <c r="D3948" s="5" t="s">
        <v>35</v>
      </c>
      <c r="E3948" s="5" t="s">
        <v>241</v>
      </c>
      <c r="F3948" s="9">
        <v>76</v>
      </c>
      <c r="G3948" s="9">
        <v>879</v>
      </c>
      <c r="H3948" s="5" t="s">
        <v>20</v>
      </c>
      <c r="I3948" s="5" t="s">
        <v>9180</v>
      </c>
      <c r="J3948" s="12" t="str">
        <f>HYPERLINK("https://www.boe.es/gazeta/dias/1807/08/25/pdfs/GMD-1807-76.pdf#page=7","Abrir facsímil")</f>
        <v>Abrir facsímil</v>
      </c>
      <c r="K3948" s="15" t="s">
        <v>22</v>
      </c>
    </row>
    <row r="3949" spans="1:11" ht="42" customHeight="1">
      <c r="A3949" s="4" t="s">
        <v>9181</v>
      </c>
      <c r="B3949" s="5" t="s">
        <v>9181</v>
      </c>
      <c r="C3949" s="5" t="s">
        <v>28</v>
      </c>
      <c r="D3949" s="5" t="s">
        <v>29</v>
      </c>
      <c r="E3949" s="5" t="s">
        <v>414</v>
      </c>
      <c r="F3949" s="9">
        <v>40</v>
      </c>
      <c r="G3949" s="9">
        <v>473</v>
      </c>
      <c r="H3949" s="5" t="s">
        <v>20</v>
      </c>
      <c r="I3949" s="5" t="s">
        <v>9182</v>
      </c>
      <c r="J3949" s="12" t="str">
        <f>HYPERLINK("https://www.boe.es/gazeta/dias/1807/05/08/pdfs/GMD-1807-40.pdf#page=3","Abrir facsímil")</f>
        <v>Abrir facsímil</v>
      </c>
      <c r="K3949" s="15" t="s">
        <v>22</v>
      </c>
    </row>
    <row r="3950" spans="1:11" ht="42" customHeight="1">
      <c r="A3950" s="4" t="s">
        <v>9183</v>
      </c>
      <c r="B3950" s="5" t="s">
        <v>9183</v>
      </c>
      <c r="C3950" s="5" t="s">
        <v>34</v>
      </c>
      <c r="D3950" s="5" t="s">
        <v>35</v>
      </c>
      <c r="E3950" s="5" t="s">
        <v>464</v>
      </c>
      <c r="F3950" s="9">
        <v>18</v>
      </c>
      <c r="G3950" s="9">
        <v>207</v>
      </c>
      <c r="H3950" s="5" t="s">
        <v>20</v>
      </c>
      <c r="I3950" s="5" t="s">
        <v>9184</v>
      </c>
      <c r="J3950" s="12" t="str">
        <f>HYPERLINK("https://www.boe.es/gazeta/dias/1807/02/24/pdfs/GMD-1807-18.pdf#page=7","Abrir facsímil")</f>
        <v>Abrir facsímil</v>
      </c>
      <c r="K3950" s="15" t="s">
        <v>22</v>
      </c>
    </row>
    <row r="3951" spans="1:11" ht="42" customHeight="1">
      <c r="A3951" s="4" t="s">
        <v>9183</v>
      </c>
      <c r="B3951" s="5" t="s">
        <v>9183</v>
      </c>
      <c r="C3951" s="5" t="s">
        <v>34</v>
      </c>
      <c r="D3951" s="5" t="s">
        <v>35</v>
      </c>
      <c r="E3951" s="5" t="s">
        <v>98</v>
      </c>
      <c r="F3951" s="9">
        <v>34</v>
      </c>
      <c r="G3951" s="9">
        <v>402</v>
      </c>
      <c r="H3951" s="5" t="s">
        <v>20</v>
      </c>
      <c r="I3951" s="5" t="s">
        <v>9185</v>
      </c>
      <c r="J3951" s="12" t="str">
        <f>HYPERLINK("https://www.boe.es/gazeta/dias/1807/04/17/pdfs/GMD-1807-34.pdf#page=6","Abrir facsímil")</f>
        <v>Abrir facsímil</v>
      </c>
      <c r="K3951" s="15" t="s">
        <v>22</v>
      </c>
    </row>
    <row r="3952" spans="1:11" ht="42" customHeight="1">
      <c r="A3952" s="4" t="s">
        <v>9186</v>
      </c>
      <c r="B3952" s="5" t="s">
        <v>9186</v>
      </c>
      <c r="C3952" s="5" t="s">
        <v>34</v>
      </c>
      <c r="D3952" s="5" t="s">
        <v>35</v>
      </c>
      <c r="E3952" s="5" t="s">
        <v>42</v>
      </c>
      <c r="F3952" s="9">
        <v>31</v>
      </c>
      <c r="G3952" s="9">
        <v>368</v>
      </c>
      <c r="H3952" s="5" t="s">
        <v>20</v>
      </c>
      <c r="I3952" s="5" t="s">
        <v>9187</v>
      </c>
      <c r="J3952" s="12" t="str">
        <f>HYPERLINK("https://www.boe.es/gazeta/dias/1807/04/07/pdfs/GMD-1807-31.pdf#page=8","Abrir facsímil")</f>
        <v>Abrir facsímil</v>
      </c>
      <c r="K3952" s="15" t="s">
        <v>22</v>
      </c>
    </row>
    <row r="3953" spans="1:11" ht="42" customHeight="1">
      <c r="A3953" s="4" t="s">
        <v>9188</v>
      </c>
      <c r="B3953" s="5" t="s">
        <v>9189</v>
      </c>
      <c r="C3953" s="5" t="s">
        <v>28</v>
      </c>
      <c r="D3953" s="5" t="s">
        <v>29</v>
      </c>
      <c r="E3953" s="5" t="s">
        <v>393</v>
      </c>
      <c r="F3953" s="9">
        <v>15</v>
      </c>
      <c r="G3953" s="9">
        <v>173</v>
      </c>
      <c r="H3953" s="5" t="s">
        <v>20</v>
      </c>
      <c r="I3953" s="5" t="s">
        <v>9190</v>
      </c>
      <c r="J3953" s="12" t="str">
        <f>HYPERLINK("https://www.boe.es/gazeta/dias/1807/02/13/pdfs/GMD-1807-15.pdf#page=9","Abrir facsímil")</f>
        <v>Abrir facsímil</v>
      </c>
      <c r="K3953" s="15" t="s">
        <v>22</v>
      </c>
    </row>
    <row r="3954" spans="1:11" ht="42" customHeight="1">
      <c r="A3954" s="4" t="s">
        <v>9191</v>
      </c>
      <c r="B3954" s="5" t="s">
        <v>9192</v>
      </c>
      <c r="C3954" s="5" t="s">
        <v>34</v>
      </c>
      <c r="D3954" s="5" t="s">
        <v>35</v>
      </c>
      <c r="E3954" s="5" t="s">
        <v>40</v>
      </c>
      <c r="F3954" s="9">
        <v>26</v>
      </c>
      <c r="G3954" s="9">
        <v>312</v>
      </c>
      <c r="H3954" s="5" t="s">
        <v>20</v>
      </c>
      <c r="I3954" s="5" t="s">
        <v>9193</v>
      </c>
      <c r="J3954" s="12" t="str">
        <f>HYPERLINK("https://www.boe.es/gazeta/dias/1807/03/20/pdfs/GMD-1807-26.pdf#page=8","Abrir facsímil")</f>
        <v>Abrir facsímil</v>
      </c>
      <c r="K3954" s="15" t="s">
        <v>22</v>
      </c>
    </row>
    <row r="3955" spans="1:11" ht="42" customHeight="1">
      <c r="A3955" s="4" t="s">
        <v>9194</v>
      </c>
      <c r="B3955" s="5" t="s">
        <v>9195</v>
      </c>
      <c r="C3955" s="5" t="s">
        <v>24</v>
      </c>
      <c r="D3955" s="5" t="s">
        <v>18</v>
      </c>
      <c r="E3955" s="5" t="s">
        <v>215</v>
      </c>
      <c r="F3955" s="9">
        <v>5</v>
      </c>
      <c r="G3955" s="9">
        <v>51</v>
      </c>
      <c r="H3955" s="5" t="s">
        <v>20</v>
      </c>
      <c r="I3955" s="5" t="s">
        <v>9196</v>
      </c>
      <c r="J3955" s="12" t="str">
        <f>HYPERLINK("https://www.boe.es/gazeta/dias/1807/01/16/pdfs/GMD-1807-5.pdf#page=7","Abrir facsímil")</f>
        <v>Abrir facsímil</v>
      </c>
      <c r="K3955" s="15" t="s">
        <v>22</v>
      </c>
    </row>
    <row r="3956" spans="1:11" ht="42" customHeight="1">
      <c r="A3956" s="4" t="s">
        <v>9197</v>
      </c>
      <c r="B3956" s="5" t="s">
        <v>9198</v>
      </c>
      <c r="C3956" s="5" t="s">
        <v>17</v>
      </c>
      <c r="D3956" s="5" t="s">
        <v>18</v>
      </c>
      <c r="E3956" s="5" t="s">
        <v>406</v>
      </c>
      <c r="F3956" s="9">
        <v>82</v>
      </c>
      <c r="G3956" s="9">
        <v>956</v>
      </c>
      <c r="H3956" s="5" t="s">
        <v>20</v>
      </c>
      <c r="I3956" s="5" t="s">
        <v>9199</v>
      </c>
      <c r="J3956" s="12" t="str">
        <f>HYPERLINK("https://www.boe.es/gazeta/dias/1807/09/15/pdfs/GMD-1807-82.pdf#page=8","Abrir facsímil")</f>
        <v>Abrir facsímil</v>
      </c>
      <c r="K3956" s="15" t="s">
        <v>22</v>
      </c>
    </row>
    <row r="3957" spans="1:11" ht="42" customHeight="1">
      <c r="A3957" s="4" t="s">
        <v>9200</v>
      </c>
      <c r="B3957" s="5" t="s">
        <v>9201</v>
      </c>
      <c r="C3957" s="5" t="s">
        <v>28</v>
      </c>
      <c r="D3957" s="5" t="s">
        <v>29</v>
      </c>
      <c r="E3957" s="5" t="s">
        <v>156</v>
      </c>
      <c r="F3957" s="9">
        <v>74</v>
      </c>
      <c r="G3957" s="9">
        <v>859</v>
      </c>
      <c r="H3957" s="5" t="s">
        <v>20</v>
      </c>
      <c r="I3957" s="5" t="s">
        <v>9202</v>
      </c>
      <c r="J3957" s="12" t="str">
        <f>HYPERLINK("https://www.boe.es/gazeta/dias/1807/08/18/pdfs/GMD-1807-74.pdf#page=11","Abrir facsímil")</f>
        <v>Abrir facsímil</v>
      </c>
      <c r="K3957" s="15" t="s">
        <v>22</v>
      </c>
    </row>
    <row r="3958" spans="1:11" ht="42" customHeight="1">
      <c r="A3958" s="4" t="s">
        <v>9203</v>
      </c>
      <c r="B3958" s="5" t="s">
        <v>9204</v>
      </c>
      <c r="C3958" s="5" t="s">
        <v>34</v>
      </c>
      <c r="D3958" s="5" t="s">
        <v>35</v>
      </c>
      <c r="E3958" s="5" t="s">
        <v>441</v>
      </c>
      <c r="F3958" s="9">
        <v>92</v>
      </c>
      <c r="G3958" s="9">
        <v>1068</v>
      </c>
      <c r="H3958" s="5" t="s">
        <v>20</v>
      </c>
      <c r="I3958" s="5" t="s">
        <v>9205</v>
      </c>
      <c r="J3958" s="12" t="str">
        <f>HYPERLINK("https://www.boe.es/gazeta/dias/1807/10/13/pdfs/GMD-1807-92.pdf#page=8","Abrir facsímil")</f>
        <v>Abrir facsímil</v>
      </c>
      <c r="K3958" s="15" t="s">
        <v>22</v>
      </c>
    </row>
    <row r="3959" spans="1:11" ht="42" customHeight="1">
      <c r="A3959" s="4" t="s">
        <v>9206</v>
      </c>
      <c r="B3959" s="5" t="s">
        <v>9207</v>
      </c>
      <c r="C3959" s="5" t="s">
        <v>24</v>
      </c>
      <c r="D3959" s="5" t="s">
        <v>18</v>
      </c>
      <c r="E3959" s="5" t="s">
        <v>208</v>
      </c>
      <c r="F3959" s="9">
        <v>42</v>
      </c>
      <c r="G3959" s="9">
        <v>503</v>
      </c>
      <c r="H3959" s="5" t="s">
        <v>20</v>
      </c>
      <c r="I3959" s="5" t="s">
        <v>9208</v>
      </c>
      <c r="J3959" s="12" t="str">
        <f>HYPERLINK("https://www.boe.es/gazeta/dias/1807/05/15/pdfs/GMD-1807-42.pdf#page=9","Abrir facsímil")</f>
        <v>Abrir facsímil</v>
      </c>
      <c r="K3959" s="15" t="s">
        <v>22</v>
      </c>
    </row>
    <row r="3960" spans="1:11" ht="42" customHeight="1">
      <c r="A3960" s="4" t="s">
        <v>9206</v>
      </c>
      <c r="B3960" s="5" t="s">
        <v>9207</v>
      </c>
      <c r="C3960" s="5" t="s">
        <v>24</v>
      </c>
      <c r="D3960" s="5" t="s">
        <v>18</v>
      </c>
      <c r="E3960" s="5" t="s">
        <v>471</v>
      </c>
      <c r="F3960" s="9">
        <v>51</v>
      </c>
      <c r="G3960" s="9">
        <v>608</v>
      </c>
      <c r="H3960" s="5" t="s">
        <v>20</v>
      </c>
      <c r="I3960" s="5" t="s">
        <v>9209</v>
      </c>
      <c r="J3960" s="12" t="str">
        <f>HYPERLINK("https://www.boe.es/gazeta/dias/1807/06/16/pdfs/GMD-1807-51.pdf#page=10","Abrir facsímil")</f>
        <v>Abrir facsímil</v>
      </c>
      <c r="K3960" s="15" t="s">
        <v>22</v>
      </c>
    </row>
    <row r="3961" spans="1:11" ht="42" customHeight="1">
      <c r="A3961" s="4" t="s">
        <v>9206</v>
      </c>
      <c r="B3961" s="5" t="s">
        <v>9207</v>
      </c>
      <c r="C3961" s="5" t="s">
        <v>24</v>
      </c>
      <c r="D3961" s="5" t="s">
        <v>18</v>
      </c>
      <c r="E3961" s="5" t="s">
        <v>65</v>
      </c>
      <c r="F3961" s="9">
        <v>52</v>
      </c>
      <c r="G3961" s="9">
        <v>623</v>
      </c>
      <c r="H3961" s="5" t="s">
        <v>20</v>
      </c>
      <c r="I3961" s="5" t="s">
        <v>9210</v>
      </c>
      <c r="J3961" s="12" t="str">
        <f>HYPERLINK("https://www.boe.es/gazeta/dias/1807/06/19/pdfs/GMD-1807-52.pdf#page=13","Abrir facsímil")</f>
        <v>Abrir facsímil</v>
      </c>
      <c r="K3961" s="15" t="s">
        <v>22</v>
      </c>
    </row>
    <row r="3962" spans="1:11" ht="42" customHeight="1">
      <c r="A3962" s="4" t="s">
        <v>9206</v>
      </c>
      <c r="B3962" s="5" t="s">
        <v>9207</v>
      </c>
      <c r="C3962" s="5" t="s">
        <v>34</v>
      </c>
      <c r="D3962" s="5" t="s">
        <v>35</v>
      </c>
      <c r="E3962" s="5" t="s">
        <v>109</v>
      </c>
      <c r="F3962" s="9">
        <v>58</v>
      </c>
      <c r="G3962" s="9">
        <v>692</v>
      </c>
      <c r="H3962" s="5" t="s">
        <v>20</v>
      </c>
      <c r="I3962" s="5" t="s">
        <v>9211</v>
      </c>
      <c r="J3962" s="12" t="str">
        <f>HYPERLINK("https://www.boe.es/gazeta/dias/1807/07/07/pdfs/GMD-1807-58.pdf#page=10","Abrir facsímil")</f>
        <v>Abrir facsímil</v>
      </c>
      <c r="K3962" s="15" t="s">
        <v>22</v>
      </c>
    </row>
    <row r="3963" spans="1:11" ht="42" customHeight="1">
      <c r="A3963" s="4" t="s">
        <v>9206</v>
      </c>
      <c r="B3963" s="5" t="s">
        <v>9207</v>
      </c>
      <c r="C3963" s="5" t="s">
        <v>24</v>
      </c>
      <c r="D3963" s="5" t="s">
        <v>18</v>
      </c>
      <c r="E3963" s="5" t="s">
        <v>241</v>
      </c>
      <c r="F3963" s="9">
        <v>76</v>
      </c>
      <c r="G3963" s="9">
        <v>883</v>
      </c>
      <c r="H3963" s="5" t="s">
        <v>20</v>
      </c>
      <c r="I3963" s="5" t="s">
        <v>9212</v>
      </c>
      <c r="J3963" s="12" t="str">
        <f>HYPERLINK("https://www.boe.es/gazeta/dias/1807/08/25/pdfs/GMD-1807-76.pdf#page=11","Abrir facsímil")</f>
        <v>Abrir facsímil</v>
      </c>
      <c r="K3963" s="15" t="s">
        <v>22</v>
      </c>
    </row>
    <row r="3964" spans="1:11" ht="42" customHeight="1">
      <c r="A3964" s="4" t="s">
        <v>9206</v>
      </c>
      <c r="B3964" s="5" t="s">
        <v>9207</v>
      </c>
      <c r="C3964" s="5" t="s">
        <v>24</v>
      </c>
      <c r="D3964" s="5" t="s">
        <v>18</v>
      </c>
      <c r="E3964" s="5" t="s">
        <v>167</v>
      </c>
      <c r="F3964" s="9">
        <v>77</v>
      </c>
      <c r="G3964" s="9">
        <v>895</v>
      </c>
      <c r="H3964" s="5" t="s">
        <v>20</v>
      </c>
      <c r="I3964" s="5" t="s">
        <v>9213</v>
      </c>
      <c r="J3964" s="12" t="str">
        <f>HYPERLINK("https://www.boe.es/gazeta/dias/1807/08/28/pdfs/GMD-1807-77.pdf#page=11","Abrir facsímil")</f>
        <v>Abrir facsímil</v>
      </c>
      <c r="K3964" s="15" t="s">
        <v>22</v>
      </c>
    </row>
    <row r="3965" spans="1:11" ht="42" customHeight="1">
      <c r="A3965" s="4" t="s">
        <v>9206</v>
      </c>
      <c r="B3965" s="5" t="s">
        <v>9207</v>
      </c>
      <c r="C3965" s="5" t="s">
        <v>28</v>
      </c>
      <c r="D3965" s="5" t="s">
        <v>29</v>
      </c>
      <c r="E3965" s="5" t="s">
        <v>224</v>
      </c>
      <c r="F3965" s="9">
        <v>91</v>
      </c>
      <c r="G3965" s="9">
        <v>1060</v>
      </c>
      <c r="H3965" s="5" t="s">
        <v>20</v>
      </c>
      <c r="I3965" s="5" t="s">
        <v>9214</v>
      </c>
      <c r="J3965" s="12" t="str">
        <f>HYPERLINK("https://www.boe.es/gazeta/dias/1807/10/09/pdfs/GMD-1807-91.pdf#page=12","Abrir facsímil")</f>
        <v>Abrir facsímil</v>
      </c>
      <c r="K3965" s="15" t="s">
        <v>22</v>
      </c>
    </row>
    <row r="3966" spans="1:11" ht="42" customHeight="1">
      <c r="A3966" s="4" t="s">
        <v>9215</v>
      </c>
      <c r="B3966" s="5" t="s">
        <v>9216</v>
      </c>
      <c r="C3966" s="5" t="s">
        <v>24</v>
      </c>
      <c r="D3966" s="5" t="s">
        <v>18</v>
      </c>
      <c r="E3966" s="5" t="s">
        <v>414</v>
      </c>
      <c r="F3966" s="9">
        <v>40</v>
      </c>
      <c r="G3966" s="9">
        <v>480</v>
      </c>
      <c r="H3966" s="5" t="s">
        <v>20</v>
      </c>
      <c r="I3966" s="5" t="s">
        <v>9217</v>
      </c>
      <c r="J3966" s="12" t="str">
        <f>HYPERLINK("https://www.boe.es/gazeta/dias/1807/05/08/pdfs/GMD-1807-40.pdf#page=10","Abrir facsímil")</f>
        <v>Abrir facsímil</v>
      </c>
      <c r="K3966" s="15" t="s">
        <v>22</v>
      </c>
    </row>
    <row r="3967" spans="1:11" ht="42" customHeight="1">
      <c r="A3967" s="4" t="s">
        <v>9218</v>
      </c>
      <c r="B3967" s="5" t="s">
        <v>9219</v>
      </c>
      <c r="C3967" s="5" t="s">
        <v>34</v>
      </c>
      <c r="D3967" s="5" t="s">
        <v>35</v>
      </c>
      <c r="E3967" s="5" t="s">
        <v>3230</v>
      </c>
      <c r="F3967" s="9">
        <v>27</v>
      </c>
      <c r="G3967" s="9">
        <v>325</v>
      </c>
      <c r="H3967" s="5" t="s">
        <v>20</v>
      </c>
      <c r="I3967" s="5" t="s">
        <v>9220</v>
      </c>
      <c r="J3967" s="12" t="str">
        <f>HYPERLINK("https://www.boe.es/gazeta/dias/1807/03/24/pdfs/GMD-1807-27.pdf#page=9","Abrir facsímil")</f>
        <v>Abrir facsímil</v>
      </c>
      <c r="K3967" s="15" t="s">
        <v>22</v>
      </c>
    </row>
    <row r="3968" spans="1:11" ht="42" customHeight="1">
      <c r="A3968" s="4" t="s">
        <v>9221</v>
      </c>
      <c r="B3968" s="5" t="s">
        <v>9222</v>
      </c>
      <c r="C3968" s="5" t="s">
        <v>34</v>
      </c>
      <c r="D3968" s="5" t="s">
        <v>35</v>
      </c>
      <c r="E3968" s="5" t="s">
        <v>186</v>
      </c>
      <c r="F3968" s="9">
        <v>72</v>
      </c>
      <c r="G3968" s="9">
        <v>828</v>
      </c>
      <c r="H3968" s="5" t="s">
        <v>20</v>
      </c>
      <c r="I3968" s="5" t="s">
        <v>9223</v>
      </c>
      <c r="J3968" s="12" t="str">
        <f>HYPERLINK("https://www.boe.es/gazeta/dias/1807/08/11/pdfs/GMD-1807-72.pdf#page=8","Abrir facsímil")</f>
        <v>Abrir facsímil</v>
      </c>
      <c r="K3968" s="15" t="s">
        <v>22</v>
      </c>
    </row>
    <row r="3969" spans="1:11" ht="42" customHeight="1">
      <c r="A3969" s="4" t="s">
        <v>9224</v>
      </c>
      <c r="B3969" s="5" t="s">
        <v>9225</v>
      </c>
      <c r="C3969" s="5" t="s">
        <v>34</v>
      </c>
      <c r="D3969" s="5" t="s">
        <v>35</v>
      </c>
      <c r="E3969" s="5" t="s">
        <v>91</v>
      </c>
      <c r="F3969" s="9">
        <v>109</v>
      </c>
      <c r="G3969" s="9">
        <v>1273</v>
      </c>
      <c r="H3969" s="5" t="s">
        <v>20</v>
      </c>
      <c r="I3969" s="5" t="s">
        <v>9226</v>
      </c>
      <c r="J3969" s="12" t="str">
        <f>HYPERLINK("https://www.boe.es/gazeta/dias/1807/12/08/pdfs/GMD-1807-109.pdf#page=9","Abrir facsímil")</f>
        <v>Abrir facsímil</v>
      </c>
      <c r="K3969" s="15" t="s">
        <v>22</v>
      </c>
    </row>
    <row r="3970" spans="1:11" ht="42" customHeight="1">
      <c r="A3970" s="4" t="s">
        <v>9227</v>
      </c>
      <c r="B3970" s="5" t="s">
        <v>9228</v>
      </c>
      <c r="C3970" s="5" t="s">
        <v>28</v>
      </c>
      <c r="D3970" s="5" t="s">
        <v>29</v>
      </c>
      <c r="E3970" s="5" t="s">
        <v>426</v>
      </c>
      <c r="F3970" s="9">
        <v>93</v>
      </c>
      <c r="G3970" s="9">
        <v>1083</v>
      </c>
      <c r="H3970" s="5" t="s">
        <v>20</v>
      </c>
      <c r="I3970" s="5" t="s">
        <v>9229</v>
      </c>
      <c r="J3970" s="12" t="str">
        <f>HYPERLINK("https://www.boe.es/gazeta/dias/1807/10/16/pdfs/GMD-1807-93.pdf#page=11","Abrir facsímil")</f>
        <v>Abrir facsímil</v>
      </c>
      <c r="K3970" s="15" t="s">
        <v>22</v>
      </c>
    </row>
    <row r="3971" spans="1:11" ht="42" customHeight="1">
      <c r="A3971" s="4" t="s">
        <v>9230</v>
      </c>
      <c r="B3971" s="5" t="s">
        <v>9231</v>
      </c>
      <c r="C3971" s="5" t="s">
        <v>34</v>
      </c>
      <c r="D3971" s="5" t="s">
        <v>35</v>
      </c>
      <c r="E3971" s="5" t="s">
        <v>65</v>
      </c>
      <c r="F3971" s="9">
        <v>52</v>
      </c>
      <c r="G3971" s="9">
        <v>624</v>
      </c>
      <c r="H3971" s="5" t="s">
        <v>20</v>
      </c>
      <c r="I3971" s="5" t="s">
        <v>9232</v>
      </c>
      <c r="J3971" s="12" t="str">
        <f>HYPERLINK("https://www.boe.es/gazeta/dias/1807/06/19/pdfs/GMD-1807-52.pdf#page=14","Abrir facsímil")</f>
        <v>Abrir facsímil</v>
      </c>
      <c r="K3971" s="15" t="s">
        <v>22</v>
      </c>
    </row>
    <row r="3972" spans="1:11" ht="42" customHeight="1">
      <c r="A3972" s="4" t="s">
        <v>9233</v>
      </c>
      <c r="B3972" s="5" t="s">
        <v>9234</v>
      </c>
      <c r="C3972" s="5" t="s">
        <v>24</v>
      </c>
      <c r="D3972" s="5" t="s">
        <v>18</v>
      </c>
      <c r="E3972" s="5" t="s">
        <v>152</v>
      </c>
      <c r="F3972" s="9">
        <v>61</v>
      </c>
      <c r="G3972" s="9">
        <v>722</v>
      </c>
      <c r="H3972" s="5" t="s">
        <v>20</v>
      </c>
      <c r="I3972" s="5" t="s">
        <v>9235</v>
      </c>
      <c r="J3972" s="12" t="str">
        <f>HYPERLINK("https://www.boe.es/gazeta/dias/1807/07/14/pdfs/GMD-1807-61.pdf#page=8","Abrir facsímil")</f>
        <v>Abrir facsímil</v>
      </c>
      <c r="K3972" s="15" t="s">
        <v>22</v>
      </c>
    </row>
    <row r="3973" spans="1:11" ht="42" customHeight="1">
      <c r="A3973" s="4" t="s">
        <v>9236</v>
      </c>
      <c r="B3973" s="5" t="s">
        <v>9237</v>
      </c>
      <c r="C3973" s="5" t="s">
        <v>17</v>
      </c>
      <c r="D3973" s="5" t="s">
        <v>18</v>
      </c>
      <c r="E3973" s="5" t="s">
        <v>94</v>
      </c>
      <c r="F3973" s="9">
        <v>22</v>
      </c>
      <c r="G3973" s="9">
        <v>255</v>
      </c>
      <c r="H3973" s="5" t="s">
        <v>20</v>
      </c>
      <c r="I3973" s="5" t="s">
        <v>9238</v>
      </c>
      <c r="J3973" s="12" t="str">
        <f>HYPERLINK("https://www.boe.es/gazeta/dias/1807/03/06/pdfs/GMD-1807-22.pdf#page=7","Abrir facsímil")</f>
        <v>Abrir facsímil</v>
      </c>
      <c r="K3973" s="15" t="s">
        <v>22</v>
      </c>
    </row>
    <row r="3974" spans="1:11" ht="42" customHeight="1">
      <c r="A3974" s="4" t="s">
        <v>9239</v>
      </c>
      <c r="B3974" s="5" t="s">
        <v>9240</v>
      </c>
      <c r="C3974" s="5" t="s">
        <v>89</v>
      </c>
      <c r="D3974" s="5" t="s">
        <v>90</v>
      </c>
      <c r="E3974" s="5" t="s">
        <v>426</v>
      </c>
      <c r="F3974" s="9">
        <v>93</v>
      </c>
      <c r="G3974" s="9">
        <v>1081</v>
      </c>
      <c r="H3974" s="5" t="s">
        <v>20</v>
      </c>
      <c r="I3974" s="5" t="s">
        <v>9241</v>
      </c>
      <c r="J3974" s="12" t="str">
        <f>HYPERLINK("https://www.boe.es/gazeta/dias/1807/10/16/pdfs/GMD-1807-93.pdf#page=9","Abrir facsímil")</f>
        <v>Abrir facsímil</v>
      </c>
      <c r="K3974" s="15" t="s">
        <v>22</v>
      </c>
    </row>
    <row r="3975" spans="1:11" ht="42" customHeight="1">
      <c r="A3975" s="4" t="s">
        <v>9242</v>
      </c>
      <c r="B3975" s="5" t="s">
        <v>9243</v>
      </c>
      <c r="C3975" s="5" t="s">
        <v>17</v>
      </c>
      <c r="D3975" s="5" t="s">
        <v>18</v>
      </c>
      <c r="E3975" s="5" t="s">
        <v>666</v>
      </c>
      <c r="F3975" s="9">
        <v>43</v>
      </c>
      <c r="G3975" s="9">
        <v>515</v>
      </c>
      <c r="H3975" s="5" t="s">
        <v>20</v>
      </c>
      <c r="I3975" s="5" t="s">
        <v>9244</v>
      </c>
      <c r="J3975" s="12" t="str">
        <f>HYPERLINK("https://www.boe.es/gazeta/dias/1807/05/19/pdfs/GMD-1807-43.pdf#page=9","Abrir facsímil")</f>
        <v>Abrir facsímil</v>
      </c>
      <c r="K3975" s="15" t="s">
        <v>22</v>
      </c>
    </row>
    <row r="3976" spans="1:11" ht="42" customHeight="1">
      <c r="A3976" s="4" t="s">
        <v>9245</v>
      </c>
      <c r="B3976" s="5" t="s">
        <v>9246</v>
      </c>
      <c r="C3976" s="5" t="s">
        <v>24</v>
      </c>
      <c r="D3976" s="5" t="s">
        <v>18</v>
      </c>
      <c r="E3976" s="5" t="s">
        <v>167</v>
      </c>
      <c r="F3976" s="9">
        <v>77</v>
      </c>
      <c r="G3976" s="9">
        <v>895</v>
      </c>
      <c r="H3976" s="5" t="s">
        <v>20</v>
      </c>
      <c r="I3976" s="5" t="s">
        <v>9247</v>
      </c>
      <c r="J3976" s="12" t="str">
        <f>HYPERLINK("https://www.boe.es/gazeta/dias/1807/08/28/pdfs/GMD-1807-77.pdf#page=11","Abrir facsímil")</f>
        <v>Abrir facsímil</v>
      </c>
      <c r="K3976" s="15" t="s">
        <v>22</v>
      </c>
    </row>
    <row r="3977" spans="1:11" ht="42" customHeight="1">
      <c r="A3977" s="4" t="s">
        <v>9248</v>
      </c>
      <c r="B3977" s="5" t="s">
        <v>9249</v>
      </c>
      <c r="C3977" s="5" t="s">
        <v>24</v>
      </c>
      <c r="D3977" s="5" t="s">
        <v>18</v>
      </c>
      <c r="E3977" s="5" t="s">
        <v>65</v>
      </c>
      <c r="F3977" s="9">
        <v>52</v>
      </c>
      <c r="G3977" s="9">
        <v>623</v>
      </c>
      <c r="H3977" s="5" t="s">
        <v>20</v>
      </c>
      <c r="I3977" s="5" t="s">
        <v>9250</v>
      </c>
      <c r="J3977" s="12" t="str">
        <f>HYPERLINK("https://www.boe.es/gazeta/dias/1807/06/19/pdfs/GMD-1807-52.pdf#page=13","Abrir facsímil")</f>
        <v>Abrir facsímil</v>
      </c>
      <c r="K3977" s="15" t="s">
        <v>22</v>
      </c>
    </row>
    <row r="3978" spans="1:11" ht="42" customHeight="1">
      <c r="A3978" s="4" t="s">
        <v>9248</v>
      </c>
      <c r="B3978" s="5" t="s">
        <v>9249</v>
      </c>
      <c r="C3978" s="5" t="s">
        <v>28</v>
      </c>
      <c r="D3978" s="5" t="s">
        <v>29</v>
      </c>
      <c r="E3978" s="5" t="s">
        <v>1076</v>
      </c>
      <c r="F3978" s="9">
        <v>96</v>
      </c>
      <c r="G3978" s="9">
        <v>1119</v>
      </c>
      <c r="H3978" s="5" t="s">
        <v>20</v>
      </c>
      <c r="I3978" s="5" t="s">
        <v>9251</v>
      </c>
      <c r="J3978" s="12" t="str">
        <f>HYPERLINK("https://www.boe.es/gazeta/dias/1807/10/27/pdfs/GMD-1807-96.pdf#page=11","Abrir facsímil")</f>
        <v>Abrir facsímil</v>
      </c>
      <c r="K3978" s="15" t="s">
        <v>22</v>
      </c>
    </row>
    <row r="3979" spans="1:11" ht="42" customHeight="1">
      <c r="A3979" s="4" t="s">
        <v>9252</v>
      </c>
      <c r="B3979" s="5" t="s">
        <v>9253</v>
      </c>
      <c r="C3979" s="5" t="s">
        <v>17</v>
      </c>
      <c r="D3979" s="5" t="s">
        <v>18</v>
      </c>
      <c r="E3979" s="5" t="s">
        <v>40</v>
      </c>
      <c r="F3979" s="9">
        <v>26</v>
      </c>
      <c r="G3979" s="9">
        <v>312</v>
      </c>
      <c r="H3979" s="5" t="s">
        <v>20</v>
      </c>
      <c r="I3979" s="5" t="s">
        <v>9254</v>
      </c>
      <c r="J3979" s="12" t="str">
        <f>HYPERLINK("https://www.boe.es/gazeta/dias/1807/03/20/pdfs/GMD-1807-26.pdf#page=8","Abrir facsímil")</f>
        <v>Abrir facsímil</v>
      </c>
      <c r="K3979" s="15" t="s">
        <v>22</v>
      </c>
    </row>
    <row r="3980" spans="1:11" ht="42" customHeight="1">
      <c r="A3980" s="4" t="s">
        <v>9252</v>
      </c>
      <c r="B3980" s="5" t="s">
        <v>9253</v>
      </c>
      <c r="C3980" s="5" t="s">
        <v>89</v>
      </c>
      <c r="D3980" s="5" t="s">
        <v>90</v>
      </c>
      <c r="E3980" s="5" t="s">
        <v>666</v>
      </c>
      <c r="F3980" s="9">
        <v>43</v>
      </c>
      <c r="G3980" s="9">
        <v>518</v>
      </c>
      <c r="H3980" s="5" t="s">
        <v>20</v>
      </c>
      <c r="I3980" s="5" t="s">
        <v>9255</v>
      </c>
      <c r="J3980" s="12" t="str">
        <f>HYPERLINK("https://www.boe.es/gazeta/dias/1807/05/19/pdfs/GMD-1807-43.pdf#page=12","Abrir facsímil")</f>
        <v>Abrir facsímil</v>
      </c>
      <c r="K3980" s="15" t="s">
        <v>22</v>
      </c>
    </row>
    <row r="3981" spans="1:11" ht="42" customHeight="1">
      <c r="A3981" s="4" t="s">
        <v>9252</v>
      </c>
      <c r="B3981" s="5" t="s">
        <v>9253</v>
      </c>
      <c r="C3981" s="5" t="s">
        <v>89</v>
      </c>
      <c r="D3981" s="5" t="s">
        <v>90</v>
      </c>
      <c r="E3981" s="5" t="s">
        <v>505</v>
      </c>
      <c r="F3981" s="9">
        <v>47</v>
      </c>
      <c r="G3981" s="9">
        <v>562</v>
      </c>
      <c r="H3981" s="5" t="s">
        <v>20</v>
      </c>
      <c r="I3981" s="5" t="s">
        <v>9256</v>
      </c>
      <c r="J3981" s="12" t="str">
        <f>HYPERLINK("https://www.boe.es/gazeta/dias/1807/06/02/pdfs/GMD-1807-47.pdf#page=8","Abrir facsímil")</f>
        <v>Abrir facsímil</v>
      </c>
      <c r="K3981" s="15" t="s">
        <v>22</v>
      </c>
    </row>
    <row r="3982" spans="1:11" ht="42" customHeight="1">
      <c r="A3982" s="4" t="s">
        <v>9257</v>
      </c>
      <c r="B3982" s="5" t="s">
        <v>9258</v>
      </c>
      <c r="C3982" s="5" t="s">
        <v>34</v>
      </c>
      <c r="D3982" s="5" t="s">
        <v>35</v>
      </c>
      <c r="E3982" s="5" t="s">
        <v>30</v>
      </c>
      <c r="F3982" s="9">
        <v>13</v>
      </c>
      <c r="G3982" s="9">
        <v>149</v>
      </c>
      <c r="H3982" s="5" t="s">
        <v>20</v>
      </c>
      <c r="I3982" s="5" t="s">
        <v>9259</v>
      </c>
      <c r="J3982" s="12" t="str">
        <f>HYPERLINK("https://www.boe.es/gazeta/dias/1807/02/06/pdfs/GMD-1807-13.pdf#page=9","Abrir facsímil")</f>
        <v>Abrir facsímil</v>
      </c>
      <c r="K3982" s="15" t="s">
        <v>22</v>
      </c>
    </row>
    <row r="3983" spans="1:11" ht="42" customHeight="1">
      <c r="A3983" s="4" t="s">
        <v>9260</v>
      </c>
      <c r="B3983" s="5" t="s">
        <v>9261</v>
      </c>
      <c r="C3983" s="5" t="s">
        <v>69</v>
      </c>
      <c r="D3983" s="5" t="s">
        <v>70</v>
      </c>
      <c r="E3983" s="5" t="s">
        <v>71</v>
      </c>
      <c r="F3983" s="9">
        <v>35</v>
      </c>
      <c r="G3983" s="9" t="s">
        <v>1485</v>
      </c>
      <c r="H3983" s="5" t="s">
        <v>20</v>
      </c>
      <c r="I3983" s="5" t="s">
        <v>9262</v>
      </c>
      <c r="J3983" s="12" t="str">
        <f>HYPERLINK("https://www.boe.es/gazeta/dias/1807/04/21/pdfs/C00001-00004.pdf#page=4","Abrir facsímil")</f>
        <v>Abrir facsímil</v>
      </c>
      <c r="K3983" s="15" t="s">
        <v>22</v>
      </c>
    </row>
    <row r="3984" spans="1:11" ht="42" customHeight="1">
      <c r="A3984" s="4" t="s">
        <v>9263</v>
      </c>
      <c r="B3984" s="5" t="s">
        <v>9264</v>
      </c>
      <c r="C3984" s="5" t="s">
        <v>28</v>
      </c>
      <c r="D3984" s="5" t="s">
        <v>29</v>
      </c>
      <c r="E3984" s="5" t="s">
        <v>426</v>
      </c>
      <c r="F3984" s="9">
        <v>93</v>
      </c>
      <c r="G3984" s="9">
        <v>1083</v>
      </c>
      <c r="H3984" s="5" t="s">
        <v>20</v>
      </c>
      <c r="I3984" s="5" t="s">
        <v>9265</v>
      </c>
      <c r="J3984" s="12" t="str">
        <f>HYPERLINK("https://www.boe.es/gazeta/dias/1807/10/16/pdfs/GMD-1807-93.pdf#page=11","Abrir facsímil")</f>
        <v>Abrir facsímil</v>
      </c>
      <c r="K3984" s="15" t="s">
        <v>22</v>
      </c>
    </row>
    <row r="3985" spans="1:11" ht="42" customHeight="1">
      <c r="A3985" s="4" t="s">
        <v>9266</v>
      </c>
      <c r="B3985" s="5" t="s">
        <v>9267</v>
      </c>
      <c r="C3985" s="5" t="s">
        <v>28</v>
      </c>
      <c r="D3985" s="5" t="s">
        <v>29</v>
      </c>
      <c r="E3985" s="5" t="s">
        <v>208</v>
      </c>
      <c r="F3985" s="9">
        <v>42</v>
      </c>
      <c r="G3985" s="9">
        <v>501</v>
      </c>
      <c r="H3985" s="5" t="s">
        <v>20</v>
      </c>
      <c r="I3985" s="5" t="s">
        <v>9268</v>
      </c>
      <c r="J3985" s="12" t="str">
        <f>HYPERLINK("https://www.boe.es/gazeta/dias/1807/05/15/pdfs/GMD-1807-42.pdf#page=7","Abrir facsímil")</f>
        <v>Abrir facsímil</v>
      </c>
      <c r="K3985" s="15" t="s">
        <v>22</v>
      </c>
    </row>
    <row r="3986" spans="1:11" ht="42" customHeight="1">
      <c r="A3986" s="4" t="s">
        <v>9269</v>
      </c>
      <c r="B3986" s="5" t="s">
        <v>9270</v>
      </c>
      <c r="C3986" s="5" t="s">
        <v>24</v>
      </c>
      <c r="D3986" s="5" t="s">
        <v>18</v>
      </c>
      <c r="E3986" s="5" t="s">
        <v>46</v>
      </c>
      <c r="F3986" s="9">
        <v>78</v>
      </c>
      <c r="G3986" s="9">
        <v>904</v>
      </c>
      <c r="H3986" s="5" t="s">
        <v>20</v>
      </c>
      <c r="I3986" s="5" t="s">
        <v>9271</v>
      </c>
      <c r="J3986" s="12" t="str">
        <f>HYPERLINK("https://www.boe.es/gazeta/dias/1807/09/01/pdfs/GMD-1807-78.pdf#page=8","Abrir facsímil")</f>
        <v>Abrir facsímil</v>
      </c>
      <c r="K3986" s="15" t="s">
        <v>22</v>
      </c>
    </row>
    <row r="3987" spans="1:11" ht="42" customHeight="1">
      <c r="A3987" s="4" t="s">
        <v>9272</v>
      </c>
      <c r="B3987" s="5" t="s">
        <v>9273</v>
      </c>
      <c r="C3987" s="5" t="s">
        <v>49</v>
      </c>
      <c r="D3987" s="5" t="s">
        <v>50</v>
      </c>
      <c r="E3987" s="5" t="s">
        <v>572</v>
      </c>
      <c r="F3987" s="9">
        <v>14</v>
      </c>
      <c r="G3987" s="9">
        <v>159</v>
      </c>
      <c r="H3987" s="5" t="s">
        <v>20</v>
      </c>
      <c r="I3987" s="5" t="s">
        <v>9274</v>
      </c>
      <c r="J3987" s="12" t="str">
        <f>HYPERLINK("https://www.boe.es/gazeta/dias/1807/02/10/pdfs/GMD-1807-14.pdf#page=7","Abrir facsímil")</f>
        <v>Abrir facsímil</v>
      </c>
      <c r="K3987" s="15" t="s">
        <v>22</v>
      </c>
    </row>
    <row r="3988" spans="1:11" ht="42" customHeight="1">
      <c r="A3988" s="4" t="s">
        <v>9275</v>
      </c>
      <c r="B3988" s="5" t="s">
        <v>9276</v>
      </c>
      <c r="C3988" s="5" t="s">
        <v>49</v>
      </c>
      <c r="D3988" s="5" t="s">
        <v>50</v>
      </c>
      <c r="E3988" s="5" t="s">
        <v>393</v>
      </c>
      <c r="F3988" s="9">
        <v>15</v>
      </c>
      <c r="G3988" s="9">
        <v>169</v>
      </c>
      <c r="H3988" s="5" t="s">
        <v>20</v>
      </c>
      <c r="I3988" s="5" t="s">
        <v>9277</v>
      </c>
      <c r="J3988" s="12" t="str">
        <f>HYPERLINK("https://www.boe.es/gazeta/dias/1807/02/13/pdfs/GMD-1807-15.pdf#page=5","Abrir facsímil")</f>
        <v>Abrir facsímil</v>
      </c>
      <c r="K3988" s="15" t="s">
        <v>22</v>
      </c>
    </row>
    <row r="3989" spans="1:11" ht="42" customHeight="1">
      <c r="A3989" s="4" t="s">
        <v>9275</v>
      </c>
      <c r="B3989" s="5" t="s">
        <v>9276</v>
      </c>
      <c r="C3989" s="5" t="s">
        <v>49</v>
      </c>
      <c r="D3989" s="5" t="s">
        <v>50</v>
      </c>
      <c r="E3989" s="5" t="s">
        <v>376</v>
      </c>
      <c r="F3989" s="9">
        <v>19</v>
      </c>
      <c r="G3989" s="9">
        <v>223</v>
      </c>
      <c r="H3989" s="5" t="s">
        <v>20</v>
      </c>
      <c r="I3989" s="5" t="s">
        <v>9278</v>
      </c>
      <c r="J3989" s="12" t="str">
        <f>HYPERLINK("https://www.boe.es/gazeta/dias/1807/02/27/pdfs/GMD-1807-19.pdf#page=7","Abrir facsímil")</f>
        <v>Abrir facsímil</v>
      </c>
      <c r="K3989" s="15" t="s">
        <v>22</v>
      </c>
    </row>
    <row r="3990" spans="1:11" ht="42" customHeight="1">
      <c r="A3990" s="4" t="s">
        <v>9279</v>
      </c>
      <c r="B3990" s="5" t="s">
        <v>9280</v>
      </c>
      <c r="C3990" s="5" t="s">
        <v>28</v>
      </c>
      <c r="D3990" s="5" t="s">
        <v>29</v>
      </c>
      <c r="E3990" s="5" t="s">
        <v>426</v>
      </c>
      <c r="F3990" s="9">
        <v>93</v>
      </c>
      <c r="G3990" s="9">
        <v>1082</v>
      </c>
      <c r="H3990" s="5" t="s">
        <v>20</v>
      </c>
      <c r="I3990" s="5" t="s">
        <v>9281</v>
      </c>
      <c r="J3990" s="12" t="str">
        <f>HYPERLINK("https://www.boe.es/gazeta/dias/1807/10/16/pdfs/GMD-1807-93.pdf#page=10","Abrir facsímil")</f>
        <v>Abrir facsímil</v>
      </c>
      <c r="K3990" s="15" t="s">
        <v>22</v>
      </c>
    </row>
    <row r="3991" spans="1:11" ht="42" customHeight="1">
      <c r="A3991" s="4" t="s">
        <v>9282</v>
      </c>
      <c r="B3991" s="5" t="s">
        <v>9283</v>
      </c>
      <c r="C3991" s="5" t="s">
        <v>34</v>
      </c>
      <c r="D3991" s="5" t="s">
        <v>35</v>
      </c>
      <c r="E3991" s="5" t="s">
        <v>36</v>
      </c>
      <c r="F3991" s="9">
        <v>36</v>
      </c>
      <c r="G3991" s="9">
        <v>430</v>
      </c>
      <c r="H3991" s="5" t="s">
        <v>20</v>
      </c>
      <c r="I3991" s="5" t="s">
        <v>9284</v>
      </c>
      <c r="J3991" s="12" t="str">
        <f>HYPERLINK("https://www.boe.es/gazeta/dias/1807/04/24/pdfs/GMD-1807-36.pdf#page=10","Abrir facsímil")</f>
        <v>Abrir facsímil</v>
      </c>
      <c r="K3991" s="15" t="s">
        <v>22</v>
      </c>
    </row>
    <row r="3992" spans="1:11" ht="42" customHeight="1">
      <c r="A3992" s="4" t="s">
        <v>9285</v>
      </c>
      <c r="B3992" s="5" t="s">
        <v>9286</v>
      </c>
      <c r="C3992" s="5" t="s">
        <v>28</v>
      </c>
      <c r="D3992" s="5" t="s">
        <v>29</v>
      </c>
      <c r="E3992" s="5" t="s">
        <v>156</v>
      </c>
      <c r="F3992" s="9">
        <v>74</v>
      </c>
      <c r="G3992" s="9">
        <v>855</v>
      </c>
      <c r="H3992" s="5" t="s">
        <v>20</v>
      </c>
      <c r="I3992" s="5" t="s">
        <v>9287</v>
      </c>
      <c r="J3992" s="12" t="str">
        <f>HYPERLINK("https://www.boe.es/gazeta/dias/1807/08/18/pdfs/GMD-1807-74.pdf#page=7","Abrir facsímil")</f>
        <v>Abrir facsímil</v>
      </c>
      <c r="K3992" s="15" t="s">
        <v>22</v>
      </c>
    </row>
    <row r="3993" spans="1:11" ht="42" customHeight="1">
      <c r="A3993" s="4" t="s">
        <v>9288</v>
      </c>
      <c r="B3993" s="5" t="s">
        <v>9288</v>
      </c>
      <c r="C3993" s="5" t="s">
        <v>49</v>
      </c>
      <c r="D3993" s="5" t="s">
        <v>50</v>
      </c>
      <c r="E3993" s="5" t="s">
        <v>120</v>
      </c>
      <c r="F3993" s="9">
        <v>10</v>
      </c>
      <c r="G3993" s="9">
        <v>107</v>
      </c>
      <c r="H3993" s="5" t="s">
        <v>20</v>
      </c>
      <c r="I3993" s="5" t="s">
        <v>9289</v>
      </c>
      <c r="J3993" s="12" t="str">
        <f>HYPERLINK("https://www.boe.es/gazeta/dias/1807/01/27/pdfs/GMD-1807-10.pdf#page=3","Abrir facsímil")</f>
        <v>Abrir facsímil</v>
      </c>
      <c r="K3993" s="15" t="s">
        <v>22</v>
      </c>
    </row>
    <row r="3994" spans="1:11" ht="42" customHeight="1">
      <c r="A3994" s="4" t="s">
        <v>9290</v>
      </c>
      <c r="B3994" s="5" t="s">
        <v>9291</v>
      </c>
      <c r="C3994" s="5" t="s">
        <v>252</v>
      </c>
      <c r="D3994" s="5" t="s">
        <v>253</v>
      </c>
      <c r="E3994" s="5" t="s">
        <v>534</v>
      </c>
      <c r="F3994" s="9" t="s">
        <v>535</v>
      </c>
      <c r="G3994" s="9">
        <v>103</v>
      </c>
      <c r="H3994" s="5" t="s">
        <v>20</v>
      </c>
      <c r="I3994" s="5" t="s">
        <v>9292</v>
      </c>
      <c r="J3994" s="12" t="str">
        <f>HYPERLINK("https://www.boe.es/gazeta/dias/1807/01/24/pdfs/GMD-1807-9E.pdf#page=7","Abrir facsímil")</f>
        <v>Abrir facsímil</v>
      </c>
      <c r="K3994" s="15" t="s">
        <v>22</v>
      </c>
    </row>
    <row r="3995" spans="1:11" ht="42" customHeight="1">
      <c r="A3995" s="4" t="s">
        <v>9290</v>
      </c>
      <c r="B3995" s="5" t="s">
        <v>9291</v>
      </c>
      <c r="C3995" s="5" t="s">
        <v>34</v>
      </c>
      <c r="D3995" s="5" t="s">
        <v>35</v>
      </c>
      <c r="E3995" s="5" t="s">
        <v>534</v>
      </c>
      <c r="F3995" s="9" t="s">
        <v>535</v>
      </c>
      <c r="G3995" s="9">
        <v>99</v>
      </c>
      <c r="H3995" s="5" t="s">
        <v>20</v>
      </c>
      <c r="I3995" s="5" t="s">
        <v>9293</v>
      </c>
      <c r="J3995" s="12" t="str">
        <f>HYPERLINK("https://www.boe.es/gazeta/dias/1807/01/24/pdfs/GMD-1807-9E.pdf#page=3","Abrir facsímil")</f>
        <v>Abrir facsímil</v>
      </c>
      <c r="K3995" s="15" t="s">
        <v>22</v>
      </c>
    </row>
    <row r="3996" spans="1:11" ht="42" customHeight="1">
      <c r="A3996" s="4" t="s">
        <v>9294</v>
      </c>
      <c r="B3996" s="5" t="s">
        <v>9295</v>
      </c>
      <c r="C3996" s="5" t="s">
        <v>17</v>
      </c>
      <c r="D3996" s="5" t="s">
        <v>18</v>
      </c>
      <c r="E3996" s="5" t="s">
        <v>581</v>
      </c>
      <c r="F3996" s="9">
        <v>71</v>
      </c>
      <c r="G3996" s="9">
        <v>817</v>
      </c>
      <c r="H3996" s="5" t="s">
        <v>20</v>
      </c>
      <c r="I3996" s="5" t="s">
        <v>9296</v>
      </c>
      <c r="J3996" s="12" t="str">
        <f>HYPERLINK("https://www.boe.es/gazeta/dias/1807/08/07/pdfs/GMD-1807-71.pdf#page=9","Abrir facsímil")</f>
        <v>Abrir facsímil</v>
      </c>
      <c r="K3996" s="15" t="s">
        <v>22</v>
      </c>
    </row>
    <row r="3997" spans="1:11" ht="42" customHeight="1">
      <c r="A3997" s="4" t="s">
        <v>9297</v>
      </c>
      <c r="B3997" s="5" t="s">
        <v>9298</v>
      </c>
      <c r="C3997" s="5" t="s">
        <v>24</v>
      </c>
      <c r="D3997" s="5" t="s">
        <v>18</v>
      </c>
      <c r="E3997" s="5" t="s">
        <v>104</v>
      </c>
      <c r="F3997" s="9">
        <v>25</v>
      </c>
      <c r="G3997" s="9">
        <v>302</v>
      </c>
      <c r="H3997" s="5" t="s">
        <v>20</v>
      </c>
      <c r="I3997" s="5" t="s">
        <v>9299</v>
      </c>
      <c r="J3997" s="12" t="str">
        <f>HYPERLINK("https://www.boe.es/gazeta/dias/1807/03/17/pdfs/GMD-1807-25.pdf#page=10","Abrir facsímil")</f>
        <v>Abrir facsímil</v>
      </c>
      <c r="K3997" s="15" t="s">
        <v>22</v>
      </c>
    </row>
    <row r="3998" spans="1:11" ht="42" customHeight="1">
      <c r="A3998" s="4" t="s">
        <v>9297</v>
      </c>
      <c r="B3998" s="5" t="s">
        <v>9298</v>
      </c>
      <c r="C3998" s="5" t="s">
        <v>24</v>
      </c>
      <c r="D3998" s="5" t="s">
        <v>18</v>
      </c>
      <c r="E3998" s="5" t="s">
        <v>754</v>
      </c>
      <c r="F3998" s="9">
        <v>103</v>
      </c>
      <c r="G3998" s="9">
        <v>1204</v>
      </c>
      <c r="H3998" s="5" t="s">
        <v>20</v>
      </c>
      <c r="I3998" s="5" t="s">
        <v>9300</v>
      </c>
      <c r="J3998" s="12" t="str">
        <f>HYPERLINK("https://www.boe.es/gazeta/dias/1807/11/20/pdfs/GMD-1807-103.pdf#page=12","Abrir facsímil")</f>
        <v>Abrir facsímil</v>
      </c>
      <c r="K3998" s="15" t="s">
        <v>22</v>
      </c>
    </row>
    <row r="3999" spans="1:11" ht="42" customHeight="1">
      <c r="A3999" s="4" t="s">
        <v>9301</v>
      </c>
      <c r="B3999" s="5" t="s">
        <v>9302</v>
      </c>
      <c r="C3999" s="5" t="s">
        <v>24</v>
      </c>
      <c r="D3999" s="5" t="s">
        <v>18</v>
      </c>
      <c r="E3999" s="5" t="s">
        <v>53</v>
      </c>
      <c r="F3999" s="9">
        <v>64</v>
      </c>
      <c r="G3999" s="9">
        <v>749</v>
      </c>
      <c r="H3999" s="5" t="s">
        <v>20</v>
      </c>
      <c r="I3999" s="5" t="s">
        <v>9303</v>
      </c>
      <c r="J3999" s="12" t="str">
        <f>HYPERLINK("https://www.boe.es/gazeta/dias/1807/07/21/pdfs/GMD-1807-64.pdf#page=11","Abrir facsímil")</f>
        <v>Abrir facsímil</v>
      </c>
      <c r="K3999" s="15" t="s">
        <v>22</v>
      </c>
    </row>
    <row r="4000" spans="1:11" ht="42" customHeight="1">
      <c r="A4000" s="4" t="s">
        <v>9304</v>
      </c>
      <c r="B4000" s="5" t="s">
        <v>9304</v>
      </c>
      <c r="C4000" s="5" t="s">
        <v>49</v>
      </c>
      <c r="D4000" s="5" t="s">
        <v>50</v>
      </c>
      <c r="E4000" s="5" t="s">
        <v>127</v>
      </c>
      <c r="F4000" s="9">
        <v>81</v>
      </c>
      <c r="G4000" s="9">
        <v>941</v>
      </c>
      <c r="H4000" s="5" t="s">
        <v>20</v>
      </c>
      <c r="I4000" s="5" t="s">
        <v>9305</v>
      </c>
      <c r="J4000" s="12" t="str">
        <f>HYPERLINK("https://www.boe.es/gazeta/dias/1807/09/11/pdfs/GMD-1807-81.pdf#page=5","Abrir facsímil")</f>
        <v>Abrir facsímil</v>
      </c>
      <c r="K4000" s="15" t="s">
        <v>22</v>
      </c>
    </row>
    <row r="4001" spans="1:11" ht="42" customHeight="1">
      <c r="A4001" s="4" t="s">
        <v>9306</v>
      </c>
      <c r="B4001" s="5" t="s">
        <v>9307</v>
      </c>
      <c r="C4001" s="5" t="s">
        <v>34</v>
      </c>
      <c r="D4001" s="5" t="s">
        <v>35</v>
      </c>
      <c r="E4001" s="5" t="s">
        <v>76</v>
      </c>
      <c r="F4001" s="9">
        <v>7</v>
      </c>
      <c r="G4001" s="9">
        <v>69</v>
      </c>
      <c r="H4001" s="5" t="s">
        <v>20</v>
      </c>
      <c r="I4001" s="5" t="s">
        <v>9308</v>
      </c>
      <c r="J4001" s="12" t="str">
        <f>HYPERLINK("https://www.boe.es/gazeta/dias/1807/01/20/pdfs/GMD-1807-7.pdf#page=1","Abrir facsímil")</f>
        <v>Abrir facsímil</v>
      </c>
      <c r="K4001" s="15" t="s">
        <v>22</v>
      </c>
    </row>
    <row r="4002" spans="1:11" ht="42" customHeight="1">
      <c r="A4002" s="4" t="s">
        <v>9309</v>
      </c>
      <c r="B4002" s="5" t="s">
        <v>9309</v>
      </c>
      <c r="C4002" s="5" t="s">
        <v>49</v>
      </c>
      <c r="D4002" s="5" t="s">
        <v>50</v>
      </c>
      <c r="E4002" s="5" t="s">
        <v>309</v>
      </c>
      <c r="F4002" s="9">
        <v>107</v>
      </c>
      <c r="G4002" s="9">
        <v>1243</v>
      </c>
      <c r="H4002" s="5" t="s">
        <v>20</v>
      </c>
      <c r="I4002" s="5" t="s">
        <v>9310</v>
      </c>
      <c r="J4002" s="12" t="str">
        <f>HYPERLINK("https://www.boe.es/gazeta/dias/1807/12/01/pdfs/GMD-1807-107.pdf#page=3","Abrir facsímil")</f>
        <v>Abrir facsímil</v>
      </c>
      <c r="K4002" s="15" t="s">
        <v>22</v>
      </c>
    </row>
    <row r="4003" spans="1:11" ht="42" customHeight="1">
      <c r="A4003" s="4" t="s">
        <v>9311</v>
      </c>
      <c r="B4003" s="5" t="s">
        <v>9311</v>
      </c>
      <c r="C4003" s="5" t="s">
        <v>34</v>
      </c>
      <c r="D4003" s="5" t="s">
        <v>35</v>
      </c>
      <c r="E4003" s="5" t="s">
        <v>422</v>
      </c>
      <c r="F4003" s="9">
        <v>33</v>
      </c>
      <c r="G4003" s="9">
        <v>388</v>
      </c>
      <c r="H4003" s="5" t="s">
        <v>20</v>
      </c>
      <c r="I4003" s="5" t="s">
        <v>9312</v>
      </c>
      <c r="J4003" s="12" t="str">
        <f>HYPERLINK("https://www.boe.es/gazeta/dias/1807/04/14/pdfs/GMD-1807-33.pdf#page=4","Abrir facsímil")</f>
        <v>Abrir facsímil</v>
      </c>
      <c r="K4003" s="15" t="s">
        <v>22</v>
      </c>
    </row>
    <row r="4004" spans="1:11" ht="42" customHeight="1">
      <c r="A4004" s="4" t="s">
        <v>9313</v>
      </c>
      <c r="B4004" s="5" t="s">
        <v>9313</v>
      </c>
      <c r="C4004" s="5" t="s">
        <v>28</v>
      </c>
      <c r="D4004" s="5" t="s">
        <v>29</v>
      </c>
      <c r="E4004" s="5" t="s">
        <v>595</v>
      </c>
      <c r="F4004" s="9">
        <v>59</v>
      </c>
      <c r="G4004" s="9">
        <v>700</v>
      </c>
      <c r="H4004" s="5" t="s">
        <v>20</v>
      </c>
      <c r="I4004" s="5" t="s">
        <v>9314</v>
      </c>
      <c r="J4004" s="12" t="str">
        <f>HYPERLINK("https://www.boe.es/gazeta/dias/1807/07/10/pdfs/GMD-1807-59.pdf#page=6","Abrir facsímil")</f>
        <v>Abrir facsímil</v>
      </c>
      <c r="K4004" s="15" t="s">
        <v>22</v>
      </c>
    </row>
    <row r="4005" spans="1:11" ht="42" customHeight="1">
      <c r="A4005" s="4" t="s">
        <v>9315</v>
      </c>
      <c r="B4005" s="5" t="s">
        <v>9316</v>
      </c>
      <c r="C4005" s="5" t="s">
        <v>34</v>
      </c>
      <c r="D4005" s="5" t="s">
        <v>35</v>
      </c>
      <c r="E4005" s="5" t="s">
        <v>114</v>
      </c>
      <c r="F4005" s="9">
        <v>46</v>
      </c>
      <c r="G4005" s="9">
        <v>553</v>
      </c>
      <c r="H4005" s="5" t="s">
        <v>20</v>
      </c>
      <c r="I4005" s="5" t="s">
        <v>9317</v>
      </c>
      <c r="J4005" s="12" t="str">
        <f>HYPERLINK("https://www.boe.es/gazeta/dias/1807/05/29/pdfs/GMD-1807-46.pdf#page=11","Abrir facsímil")</f>
        <v>Abrir facsímil</v>
      </c>
      <c r="K4005" s="15" t="s">
        <v>22</v>
      </c>
    </row>
    <row r="4006" spans="1:11" ht="42" customHeight="1">
      <c r="A4006" s="4" t="s">
        <v>9318</v>
      </c>
      <c r="B4006" s="5" t="s">
        <v>9319</v>
      </c>
      <c r="C4006" s="5" t="s">
        <v>28</v>
      </c>
      <c r="D4006" s="5" t="s">
        <v>29</v>
      </c>
      <c r="E4006" s="5" t="s">
        <v>327</v>
      </c>
      <c r="F4006" s="9">
        <v>108</v>
      </c>
      <c r="G4006" s="9">
        <v>1263</v>
      </c>
      <c r="H4006" s="5" t="s">
        <v>20</v>
      </c>
      <c r="I4006" s="5" t="s">
        <v>9320</v>
      </c>
      <c r="J4006" s="12" t="str">
        <f>HYPERLINK("https://www.boe.es/gazeta/dias/1807/12/04/pdfs/GMD-1807-108.pdf#page=11","Abrir facsímil")</f>
        <v>Abrir facsímil</v>
      </c>
      <c r="K4006" s="15" t="s">
        <v>22</v>
      </c>
    </row>
    <row r="4007" spans="1:11" ht="42" customHeight="1">
      <c r="A4007" s="4" t="s">
        <v>9321</v>
      </c>
      <c r="B4007" s="5" t="s">
        <v>9322</v>
      </c>
      <c r="C4007" s="5" t="s">
        <v>28</v>
      </c>
      <c r="D4007" s="5" t="s">
        <v>29</v>
      </c>
      <c r="E4007" s="5" t="s">
        <v>104</v>
      </c>
      <c r="F4007" s="9">
        <v>25</v>
      </c>
      <c r="G4007" s="9">
        <v>302</v>
      </c>
      <c r="H4007" s="5" t="s">
        <v>20</v>
      </c>
      <c r="I4007" s="5" t="s">
        <v>9323</v>
      </c>
      <c r="J4007" s="12" t="str">
        <f>HYPERLINK("https://www.boe.es/gazeta/dias/1807/03/17/pdfs/GMD-1807-25.pdf#page=10","Abrir facsímil")</f>
        <v>Abrir facsímil</v>
      </c>
      <c r="K4007" s="15" t="s">
        <v>22</v>
      </c>
    </row>
    <row r="4008" spans="1:11" ht="42" customHeight="1">
      <c r="A4008" s="4" t="s">
        <v>9321</v>
      </c>
      <c r="B4008" s="5" t="s">
        <v>9322</v>
      </c>
      <c r="C4008" s="5" t="s">
        <v>28</v>
      </c>
      <c r="D4008" s="5" t="s">
        <v>29</v>
      </c>
      <c r="E4008" s="5" t="s">
        <v>53</v>
      </c>
      <c r="F4008" s="9">
        <v>64</v>
      </c>
      <c r="G4008" s="9">
        <v>748</v>
      </c>
      <c r="H4008" s="5" t="s">
        <v>20</v>
      </c>
      <c r="I4008" s="5" t="s">
        <v>9324</v>
      </c>
      <c r="J4008" s="12" t="str">
        <f>HYPERLINK("https://www.boe.es/gazeta/dias/1807/07/21/pdfs/GMD-1807-64.pdf#page=10","Abrir facsímil")</f>
        <v>Abrir facsímil</v>
      </c>
      <c r="K4008" s="15" t="s">
        <v>22</v>
      </c>
    </row>
    <row r="4009" spans="1:11" ht="42" customHeight="1">
      <c r="A4009" s="4" t="s">
        <v>9325</v>
      </c>
      <c r="B4009" s="5" t="s">
        <v>9326</v>
      </c>
      <c r="C4009" s="5" t="s">
        <v>34</v>
      </c>
      <c r="D4009" s="5" t="s">
        <v>35</v>
      </c>
      <c r="E4009" s="5" t="s">
        <v>620</v>
      </c>
      <c r="F4009" s="9">
        <v>84</v>
      </c>
      <c r="G4009" s="9">
        <v>981</v>
      </c>
      <c r="H4009" s="5" t="s">
        <v>20</v>
      </c>
      <c r="I4009" s="5" t="s">
        <v>9327</v>
      </c>
      <c r="J4009" s="12" t="str">
        <f>HYPERLINK("https://www.boe.es/gazeta/dias/1807/09/22/pdfs/GMD-1807-84.pdf#page=9","Abrir facsímil")</f>
        <v>Abrir facsímil</v>
      </c>
      <c r="K4009" s="15" t="s">
        <v>22</v>
      </c>
    </row>
    <row r="4010" spans="1:11" ht="42" customHeight="1">
      <c r="A4010" s="4" t="s">
        <v>9328</v>
      </c>
      <c r="B4010" s="5" t="s">
        <v>9328</v>
      </c>
      <c r="C4010" s="5" t="s">
        <v>89</v>
      </c>
      <c r="D4010" s="5" t="s">
        <v>90</v>
      </c>
      <c r="E4010" s="5" t="s">
        <v>615</v>
      </c>
      <c r="F4010" s="9" t="s">
        <v>616</v>
      </c>
      <c r="G4010" s="9">
        <v>999</v>
      </c>
      <c r="H4010" s="5" t="s">
        <v>20</v>
      </c>
      <c r="I4010" s="5" t="s">
        <v>9329</v>
      </c>
      <c r="J4010" s="12" t="str">
        <f>HYPERLINK("https://www.boe.es/gazeta/dias/1807/09/27/pdfs/GMD-1807-86E.pdf#page=3","Abrir facsímil")</f>
        <v>Abrir facsímil</v>
      </c>
      <c r="K4010" s="15" t="s">
        <v>22</v>
      </c>
    </row>
    <row r="4011" spans="1:11" ht="42" customHeight="1">
      <c r="A4011" s="4" t="s">
        <v>9330</v>
      </c>
      <c r="B4011" s="5" t="s">
        <v>9330</v>
      </c>
      <c r="C4011" s="5" t="s">
        <v>49</v>
      </c>
      <c r="D4011" s="5" t="s">
        <v>50</v>
      </c>
      <c r="E4011" s="5" t="s">
        <v>42</v>
      </c>
      <c r="F4011" s="9">
        <v>31</v>
      </c>
      <c r="G4011" s="9">
        <v>362</v>
      </c>
      <c r="H4011" s="5" t="s">
        <v>20</v>
      </c>
      <c r="I4011" s="5" t="s">
        <v>9331</v>
      </c>
      <c r="J4011" s="12" t="str">
        <f>HYPERLINK("https://www.boe.es/gazeta/dias/1807/04/07/pdfs/GMD-1807-31.pdf#page=2","Abrir facsímil")</f>
        <v>Abrir facsímil</v>
      </c>
      <c r="K4011" s="15" t="s">
        <v>22</v>
      </c>
    </row>
    <row r="4012" spans="1:11" ht="42" customHeight="1">
      <c r="A4012" s="4" t="s">
        <v>9332</v>
      </c>
      <c r="B4012" s="5" t="s">
        <v>9332</v>
      </c>
      <c r="C4012" s="5" t="s">
        <v>49</v>
      </c>
      <c r="D4012" s="5" t="s">
        <v>50</v>
      </c>
      <c r="E4012" s="5" t="s">
        <v>447</v>
      </c>
      <c r="F4012" s="9">
        <v>65</v>
      </c>
      <c r="G4012" s="9">
        <v>752</v>
      </c>
      <c r="H4012" s="5" t="s">
        <v>20</v>
      </c>
      <c r="I4012" s="5" t="s">
        <v>9333</v>
      </c>
      <c r="J4012" s="12" t="str">
        <f>HYPERLINK("https://www.boe.es/gazeta/dias/1807/07/24/pdfs/GMD-1807-65.pdf#page=2","Abrir facsímil")</f>
        <v>Abrir facsímil</v>
      </c>
      <c r="K4012" s="15" t="s">
        <v>22</v>
      </c>
    </row>
    <row r="4013" spans="1:11" ht="42" customHeight="1">
      <c r="A4013" s="4" t="s">
        <v>9332</v>
      </c>
      <c r="B4013" s="5" t="s">
        <v>9332</v>
      </c>
      <c r="C4013" s="5" t="s">
        <v>49</v>
      </c>
      <c r="D4013" s="5" t="s">
        <v>50</v>
      </c>
      <c r="E4013" s="5" t="s">
        <v>447</v>
      </c>
      <c r="F4013" s="9">
        <v>65</v>
      </c>
      <c r="G4013" s="9">
        <v>753</v>
      </c>
      <c r="H4013" s="5" t="s">
        <v>20</v>
      </c>
      <c r="I4013" s="5" t="s">
        <v>9334</v>
      </c>
      <c r="J4013" s="12" t="str">
        <f>HYPERLINK("https://www.boe.es/gazeta/dias/1807/07/24/pdfs/GMD-1807-65.pdf#page=3","Abrir facsímil")</f>
        <v>Abrir facsímil</v>
      </c>
      <c r="K4013" s="15" t="s">
        <v>22</v>
      </c>
    </row>
    <row r="4014" spans="1:11" ht="42" customHeight="1">
      <c r="A4014" s="4" t="s">
        <v>9335</v>
      </c>
      <c r="B4014" s="5" t="s">
        <v>9335</v>
      </c>
      <c r="C4014" s="5" t="s">
        <v>49</v>
      </c>
      <c r="D4014" s="5" t="s">
        <v>50</v>
      </c>
      <c r="E4014" s="5" t="s">
        <v>471</v>
      </c>
      <c r="F4014" s="9">
        <v>51</v>
      </c>
      <c r="G4014" s="9">
        <v>599</v>
      </c>
      <c r="H4014" s="5" t="s">
        <v>20</v>
      </c>
      <c r="I4014" s="5" t="s">
        <v>9336</v>
      </c>
      <c r="J4014" s="12" t="str">
        <f>HYPERLINK("https://www.boe.es/gazeta/dias/1807/06/16/pdfs/GMD-1807-51.pdf#page=1","Abrir facsímil")</f>
        <v>Abrir facsímil</v>
      </c>
      <c r="K4014" s="15" t="s">
        <v>22</v>
      </c>
    </row>
    <row r="4015" spans="1:11" ht="42" customHeight="1">
      <c r="A4015" s="4" t="s">
        <v>9337</v>
      </c>
      <c r="B4015" s="5" t="s">
        <v>9337</v>
      </c>
      <c r="C4015" s="5" t="s">
        <v>28</v>
      </c>
      <c r="D4015" s="5" t="s">
        <v>29</v>
      </c>
      <c r="E4015" s="5" t="s">
        <v>309</v>
      </c>
      <c r="F4015" s="9">
        <v>107</v>
      </c>
      <c r="G4015" s="9">
        <v>1250</v>
      </c>
      <c r="H4015" s="5" t="s">
        <v>20</v>
      </c>
      <c r="I4015" s="5" t="s">
        <v>9338</v>
      </c>
      <c r="J4015" s="12" t="str">
        <f>HYPERLINK("https://www.boe.es/gazeta/dias/1807/12/01/pdfs/GMD-1807-107.pdf#page=10","Abrir facsímil")</f>
        <v>Abrir facsímil</v>
      </c>
      <c r="K4015" s="15" t="s">
        <v>22</v>
      </c>
    </row>
    <row r="4016" spans="1:11" ht="42" customHeight="1">
      <c r="A4016" s="4" t="s">
        <v>9339</v>
      </c>
      <c r="B4016" s="5" t="s">
        <v>9339</v>
      </c>
      <c r="C4016" s="5" t="s">
        <v>49</v>
      </c>
      <c r="D4016" s="5" t="s">
        <v>50</v>
      </c>
      <c r="E4016" s="5" t="s">
        <v>361</v>
      </c>
      <c r="F4016" s="9">
        <v>113</v>
      </c>
      <c r="G4016" s="9">
        <v>1316</v>
      </c>
      <c r="H4016" s="5" t="s">
        <v>20</v>
      </c>
      <c r="I4016" s="5" t="s">
        <v>9340</v>
      </c>
      <c r="J4016" s="12" t="str">
        <f>HYPERLINK("https://www.boe.es/gazeta/dias/1807/12/22/pdfs/GMD-1807-113.pdf#page=4","Abrir facsímil")</f>
        <v>Abrir facsímil</v>
      </c>
      <c r="K4016" s="15" t="s">
        <v>22</v>
      </c>
    </row>
    <row r="4017" spans="1:11" ht="42" customHeight="1">
      <c r="A4017" s="4" t="s">
        <v>9341</v>
      </c>
      <c r="B4017" s="5" t="s">
        <v>9342</v>
      </c>
      <c r="C4017" s="5" t="s">
        <v>34</v>
      </c>
      <c r="D4017" s="5" t="s">
        <v>35</v>
      </c>
      <c r="E4017" s="5" t="s">
        <v>109</v>
      </c>
      <c r="F4017" s="9">
        <v>58</v>
      </c>
      <c r="G4017" s="9">
        <v>689</v>
      </c>
      <c r="H4017" s="5" t="s">
        <v>20</v>
      </c>
      <c r="I4017" s="5" t="s">
        <v>9343</v>
      </c>
      <c r="J4017" s="12" t="str">
        <f>HYPERLINK("https://www.boe.es/gazeta/dias/1807/07/07/pdfs/GMD-1807-58.pdf#page=7","Abrir facsímil")</f>
        <v>Abrir facsímil</v>
      </c>
      <c r="K4017" s="15" t="s">
        <v>22</v>
      </c>
    </row>
    <row r="4018" spans="1:11" ht="42" customHeight="1">
      <c r="A4018" s="4" t="s">
        <v>9344</v>
      </c>
      <c r="B4018" s="5" t="s">
        <v>9345</v>
      </c>
      <c r="C4018" s="5" t="s">
        <v>34</v>
      </c>
      <c r="D4018" s="5" t="s">
        <v>35</v>
      </c>
      <c r="E4018" s="5" t="s">
        <v>176</v>
      </c>
      <c r="F4018" s="9">
        <v>17</v>
      </c>
      <c r="G4018" s="9">
        <v>195</v>
      </c>
      <c r="H4018" s="5" t="s">
        <v>20</v>
      </c>
      <c r="I4018" s="5" t="s">
        <v>9346</v>
      </c>
      <c r="J4018" s="12" t="str">
        <f>HYPERLINK("https://www.boe.es/gazeta/dias/1807/02/20/pdfs/GMD-1807-17.pdf#page=7","Abrir facsímil")</f>
        <v>Abrir facsímil</v>
      </c>
      <c r="K4018" s="15" t="s">
        <v>22</v>
      </c>
    </row>
    <row r="4019" spans="1:11" ht="42" customHeight="1">
      <c r="A4019" s="4" t="s">
        <v>9347</v>
      </c>
      <c r="B4019" s="5" t="s">
        <v>9347</v>
      </c>
      <c r="C4019" s="5" t="s">
        <v>89</v>
      </c>
      <c r="D4019" s="5" t="s">
        <v>90</v>
      </c>
      <c r="E4019" s="5" t="s">
        <v>179</v>
      </c>
      <c r="F4019" s="9">
        <v>100</v>
      </c>
      <c r="G4019" s="9">
        <v>1168</v>
      </c>
      <c r="H4019" s="5" t="s">
        <v>20</v>
      </c>
      <c r="I4019" s="5" t="s">
        <v>9348</v>
      </c>
      <c r="J4019" s="12" t="str">
        <f>HYPERLINK("https://www.boe.es/gazeta/dias/1807/11/10/pdfs/GMD-1807-100.pdf#page=12","Abrir facsímil")</f>
        <v>Abrir facsímil</v>
      </c>
      <c r="K4019" s="15" t="s">
        <v>22</v>
      </c>
    </row>
    <row r="4020" spans="1:11" ht="42" customHeight="1">
      <c r="A4020" s="4" t="s">
        <v>9349</v>
      </c>
      <c r="B4020" s="5" t="s">
        <v>9350</v>
      </c>
      <c r="C4020" s="5" t="s">
        <v>28</v>
      </c>
      <c r="D4020" s="5" t="s">
        <v>29</v>
      </c>
      <c r="E4020" s="5" t="s">
        <v>215</v>
      </c>
      <c r="F4020" s="9">
        <v>5</v>
      </c>
      <c r="G4020" s="9">
        <v>51</v>
      </c>
      <c r="H4020" s="5" t="s">
        <v>20</v>
      </c>
      <c r="I4020" s="5" t="s">
        <v>9351</v>
      </c>
      <c r="J4020" s="12" t="str">
        <f>HYPERLINK("https://www.boe.es/gazeta/dias/1807/01/16/pdfs/GMD-1807-5.pdf#page=7","Abrir facsímil")</f>
        <v>Abrir facsímil</v>
      </c>
      <c r="K4020" s="15" t="s">
        <v>22</v>
      </c>
    </row>
    <row r="4021" spans="1:11" ht="42" customHeight="1">
      <c r="A4021" s="4" t="s">
        <v>9352</v>
      </c>
      <c r="B4021" s="5" t="s">
        <v>9353</v>
      </c>
      <c r="C4021" s="5" t="s">
        <v>34</v>
      </c>
      <c r="D4021" s="5" t="s">
        <v>35</v>
      </c>
      <c r="E4021" s="5" t="s">
        <v>530</v>
      </c>
      <c r="F4021" s="9">
        <v>79</v>
      </c>
      <c r="G4021" s="9">
        <v>918</v>
      </c>
      <c r="H4021" s="5" t="s">
        <v>20</v>
      </c>
      <c r="I4021" s="5" t="s">
        <v>9354</v>
      </c>
      <c r="J4021" s="12" t="str">
        <f>HYPERLINK("https://www.boe.es/gazeta/dias/1807/09/04/pdfs/GMD-1807-79.pdf#page=10","Abrir facsímil")</f>
        <v>Abrir facsímil</v>
      </c>
      <c r="K4021" s="15" t="s">
        <v>22</v>
      </c>
    </row>
    <row r="4022" spans="1:11" ht="42" customHeight="1">
      <c r="A4022" s="4" t="s">
        <v>9355</v>
      </c>
      <c r="B4022" s="5" t="s">
        <v>9356</v>
      </c>
      <c r="C4022" s="5" t="s">
        <v>17</v>
      </c>
      <c r="D4022" s="5" t="s">
        <v>18</v>
      </c>
      <c r="E4022" s="5" t="s">
        <v>51</v>
      </c>
      <c r="F4022" s="9">
        <v>62</v>
      </c>
      <c r="G4022" s="9">
        <v>732</v>
      </c>
      <c r="H4022" s="5" t="s">
        <v>20</v>
      </c>
      <c r="I4022" s="5" t="s">
        <v>9357</v>
      </c>
      <c r="J4022" s="12" t="str">
        <f>HYPERLINK("https://www.boe.es/gazeta/dias/1807/07/17/pdfs/GMD-1807-62.pdf#page=6","Abrir facsímil")</f>
        <v>Abrir facsímil</v>
      </c>
      <c r="K4022" s="15" t="s">
        <v>22</v>
      </c>
    </row>
    <row r="4023" spans="1:11" ht="42" customHeight="1">
      <c r="A4023" s="4" t="s">
        <v>9358</v>
      </c>
      <c r="B4023" s="5" t="s">
        <v>9358</v>
      </c>
      <c r="C4023" s="5" t="s">
        <v>34</v>
      </c>
      <c r="D4023" s="5" t="s">
        <v>35</v>
      </c>
      <c r="E4023" s="5" t="s">
        <v>314</v>
      </c>
      <c r="F4023" s="9" t="s">
        <v>315</v>
      </c>
      <c r="G4023" s="9">
        <v>1223</v>
      </c>
      <c r="H4023" s="5" t="s">
        <v>20</v>
      </c>
      <c r="I4023" s="5" t="s">
        <v>9359</v>
      </c>
      <c r="J4023" s="12" t="str">
        <f>HYPERLINK("https://www.boe.es/gazeta/dias/1807/11/26/pdfs/GMD-1807-105E.pdf#page=7","Abrir facsímil")</f>
        <v>Abrir facsímil</v>
      </c>
      <c r="K4023" s="15" t="s">
        <v>22</v>
      </c>
    </row>
    <row r="4024" spans="1:11" ht="42" customHeight="1">
      <c r="A4024" s="4" t="s">
        <v>9360</v>
      </c>
      <c r="B4024" s="5" t="s">
        <v>9361</v>
      </c>
      <c r="C4024" s="5" t="s">
        <v>24</v>
      </c>
      <c r="D4024" s="5" t="s">
        <v>18</v>
      </c>
      <c r="E4024" s="5" t="s">
        <v>384</v>
      </c>
      <c r="F4024" s="9">
        <v>111</v>
      </c>
      <c r="G4024" s="9">
        <v>1299</v>
      </c>
      <c r="H4024" s="5" t="s">
        <v>20</v>
      </c>
      <c r="I4024" s="5" t="s">
        <v>9362</v>
      </c>
      <c r="J4024" s="12" t="str">
        <f>HYPERLINK("https://www.boe.es/gazeta/dias/1807/12/15/pdfs/GMD-1807-111.pdf#page=11","Abrir facsímil")</f>
        <v>Abrir facsímil</v>
      </c>
      <c r="K4024" s="15" t="s">
        <v>22</v>
      </c>
    </row>
    <row r="4025" spans="1:11" ht="42" customHeight="1">
      <c r="A4025" s="4" t="s">
        <v>9363</v>
      </c>
      <c r="B4025" s="5" t="s">
        <v>9364</v>
      </c>
      <c r="C4025" s="5" t="s">
        <v>28</v>
      </c>
      <c r="D4025" s="5" t="s">
        <v>29</v>
      </c>
      <c r="E4025" s="5" t="s">
        <v>98</v>
      </c>
      <c r="F4025" s="9">
        <v>34</v>
      </c>
      <c r="G4025" s="9">
        <v>406</v>
      </c>
      <c r="H4025" s="5" t="s">
        <v>20</v>
      </c>
      <c r="I4025" s="5" t="s">
        <v>9365</v>
      </c>
      <c r="J4025" s="12" t="str">
        <f>HYPERLINK("https://www.boe.es/gazeta/dias/1807/04/17/pdfs/GMD-1807-34.pdf#page=10","Abrir facsímil")</f>
        <v>Abrir facsímil</v>
      </c>
      <c r="K4025" s="15" t="s">
        <v>22</v>
      </c>
    </row>
    <row r="4026" spans="1:11" ht="42" customHeight="1">
      <c r="A4026" s="4" t="s">
        <v>9366</v>
      </c>
      <c r="B4026" s="5" t="s">
        <v>9367</v>
      </c>
      <c r="C4026" s="5" t="s">
        <v>24</v>
      </c>
      <c r="D4026" s="5" t="s">
        <v>18</v>
      </c>
      <c r="E4026" s="5" t="s">
        <v>167</v>
      </c>
      <c r="F4026" s="9">
        <v>77</v>
      </c>
      <c r="G4026" s="9">
        <v>893</v>
      </c>
      <c r="H4026" s="5" t="s">
        <v>20</v>
      </c>
      <c r="I4026" s="5" t="s">
        <v>9368</v>
      </c>
      <c r="J4026" s="12" t="str">
        <f>HYPERLINK("https://www.boe.es/gazeta/dias/1807/08/28/pdfs/GMD-1807-77.pdf#page=9","Abrir facsímil")</f>
        <v>Abrir facsímil</v>
      </c>
      <c r="K4026" s="15" t="s">
        <v>22</v>
      </c>
    </row>
    <row r="4027" spans="1:11" ht="42" customHeight="1">
      <c r="A4027" s="4" t="s">
        <v>9369</v>
      </c>
      <c r="B4027" s="5" t="s">
        <v>9369</v>
      </c>
      <c r="C4027" s="5" t="s">
        <v>49</v>
      </c>
      <c r="D4027" s="5" t="s">
        <v>50</v>
      </c>
      <c r="E4027" s="5" t="s">
        <v>120</v>
      </c>
      <c r="F4027" s="9">
        <v>10</v>
      </c>
      <c r="G4027" s="9">
        <v>108</v>
      </c>
      <c r="H4027" s="5" t="s">
        <v>20</v>
      </c>
      <c r="I4027" s="5" t="s">
        <v>9370</v>
      </c>
      <c r="J4027" s="12" t="str">
        <f>HYPERLINK("https://www.boe.es/gazeta/dias/1807/01/27/pdfs/GMD-1807-10.pdf#page=4","Abrir facsímil")</f>
        <v>Abrir facsímil</v>
      </c>
      <c r="K4027" s="15" t="s">
        <v>22</v>
      </c>
    </row>
    <row r="4028" spans="1:11" ht="42" customHeight="1">
      <c r="A4028" s="4" t="s">
        <v>9371</v>
      </c>
      <c r="B4028" s="5" t="s">
        <v>9372</v>
      </c>
      <c r="C4028" s="5" t="s">
        <v>17</v>
      </c>
      <c r="D4028" s="5" t="s">
        <v>18</v>
      </c>
      <c r="E4028" s="5" t="s">
        <v>471</v>
      </c>
      <c r="F4028" s="9">
        <v>51</v>
      </c>
      <c r="G4028" s="9">
        <v>605</v>
      </c>
      <c r="H4028" s="5" t="s">
        <v>20</v>
      </c>
      <c r="I4028" s="5" t="s">
        <v>9373</v>
      </c>
      <c r="J4028" s="12" t="str">
        <f>HYPERLINK("https://www.boe.es/gazeta/dias/1807/06/16/pdfs/GMD-1807-51.pdf#page=7","Abrir facsímil")</f>
        <v>Abrir facsímil</v>
      </c>
      <c r="K4028" s="15" t="s">
        <v>22</v>
      </c>
    </row>
    <row r="4029" spans="1:11" ht="42" customHeight="1">
      <c r="A4029" s="4" t="s">
        <v>9374</v>
      </c>
      <c r="B4029" s="5" t="s">
        <v>9375</v>
      </c>
      <c r="C4029" s="5" t="s">
        <v>28</v>
      </c>
      <c r="D4029" s="5" t="s">
        <v>29</v>
      </c>
      <c r="E4029" s="5" t="s">
        <v>98</v>
      </c>
      <c r="F4029" s="9">
        <v>34</v>
      </c>
      <c r="G4029" s="9">
        <v>404</v>
      </c>
      <c r="H4029" s="5" t="s">
        <v>20</v>
      </c>
      <c r="I4029" s="5" t="s">
        <v>9376</v>
      </c>
      <c r="J4029" s="12" t="str">
        <f>HYPERLINK("https://www.boe.es/gazeta/dias/1807/04/17/pdfs/GMD-1807-34.pdf#page=8","Abrir facsímil")</f>
        <v>Abrir facsímil</v>
      </c>
      <c r="K4029" s="15" t="s">
        <v>22</v>
      </c>
    </row>
    <row r="4030" spans="1:11" ht="42" customHeight="1">
      <c r="A4030" s="4" t="s">
        <v>9377</v>
      </c>
      <c r="B4030" s="5" t="s">
        <v>9378</v>
      </c>
      <c r="C4030" s="5" t="s">
        <v>34</v>
      </c>
      <c r="D4030" s="5" t="s">
        <v>35</v>
      </c>
      <c r="E4030" s="5" t="s">
        <v>507</v>
      </c>
      <c r="F4030" s="9">
        <v>48</v>
      </c>
      <c r="G4030" s="9">
        <v>570</v>
      </c>
      <c r="H4030" s="5" t="s">
        <v>20</v>
      </c>
      <c r="I4030" s="5" t="s">
        <v>9379</v>
      </c>
      <c r="J4030" s="12" t="str">
        <f>HYPERLINK("https://www.boe.es/gazeta/dias/1807/06/05/pdfs/GMD-1807-48.pdf#page=8","Abrir facsímil")</f>
        <v>Abrir facsímil</v>
      </c>
      <c r="K4030" s="15" t="s">
        <v>22</v>
      </c>
    </row>
    <row r="4031" spans="1:11" ht="42" customHeight="1">
      <c r="A4031" s="4" t="s">
        <v>9380</v>
      </c>
      <c r="B4031" s="5" t="s">
        <v>9381</v>
      </c>
      <c r="C4031" s="5" t="s">
        <v>89</v>
      </c>
      <c r="D4031" s="5" t="s">
        <v>90</v>
      </c>
      <c r="E4031" s="5" t="s">
        <v>42</v>
      </c>
      <c r="F4031" s="9">
        <v>31</v>
      </c>
      <c r="G4031" s="9">
        <v>371</v>
      </c>
      <c r="H4031" s="5" t="s">
        <v>20</v>
      </c>
      <c r="I4031" s="5" t="s">
        <v>9382</v>
      </c>
      <c r="J4031" s="12" t="str">
        <f>HYPERLINK("https://www.boe.es/gazeta/dias/1807/04/07/pdfs/GMD-1807-31.pdf#page=11","Abrir facsímil")</f>
        <v>Abrir facsímil</v>
      </c>
      <c r="K4031" s="15" t="s">
        <v>22</v>
      </c>
    </row>
    <row r="4032" spans="1:11" ht="42" customHeight="1">
      <c r="A4032" s="4" t="s">
        <v>9380</v>
      </c>
      <c r="B4032" s="5" t="s">
        <v>9381</v>
      </c>
      <c r="C4032" s="5" t="s">
        <v>24</v>
      </c>
      <c r="D4032" s="5" t="s">
        <v>18</v>
      </c>
      <c r="E4032" s="5" t="s">
        <v>106</v>
      </c>
      <c r="F4032" s="9">
        <v>39</v>
      </c>
      <c r="G4032" s="9">
        <v>468</v>
      </c>
      <c r="H4032" s="5" t="s">
        <v>20</v>
      </c>
      <c r="I4032" s="5" t="s">
        <v>9383</v>
      </c>
      <c r="J4032" s="12" t="str">
        <f>HYPERLINK("https://www.boe.es/gazeta/dias/1807/05/05/pdfs/GMD-1807-39.pdf#page=10","Abrir facsímil")</f>
        <v>Abrir facsímil</v>
      </c>
      <c r="K4032" s="15" t="s">
        <v>22</v>
      </c>
    </row>
    <row r="4033" spans="1:11" ht="42" customHeight="1">
      <c r="A4033" s="4" t="s">
        <v>9380</v>
      </c>
      <c r="B4033" s="5" t="s">
        <v>9381</v>
      </c>
      <c r="C4033" s="5" t="s">
        <v>24</v>
      </c>
      <c r="D4033" s="5" t="s">
        <v>18</v>
      </c>
      <c r="E4033" s="5" t="s">
        <v>81</v>
      </c>
      <c r="F4033" s="9">
        <v>49</v>
      </c>
      <c r="G4033" s="9">
        <v>585</v>
      </c>
      <c r="H4033" s="5" t="s">
        <v>20</v>
      </c>
      <c r="I4033" s="5" t="s">
        <v>9384</v>
      </c>
      <c r="J4033" s="12" t="str">
        <f>HYPERLINK("https://www.boe.es/gazeta/dias/1807/06/09/pdfs/GMD-1807-49.pdf#page=11","Abrir facsímil")</f>
        <v>Abrir facsímil</v>
      </c>
      <c r="K4033" s="15" t="s">
        <v>22</v>
      </c>
    </row>
    <row r="4034" spans="1:11" ht="42" customHeight="1">
      <c r="A4034" s="4" t="s">
        <v>9385</v>
      </c>
      <c r="B4034" s="5" t="s">
        <v>9386</v>
      </c>
      <c r="C4034" s="5" t="s">
        <v>89</v>
      </c>
      <c r="D4034" s="5" t="s">
        <v>90</v>
      </c>
      <c r="E4034" s="5" t="s">
        <v>426</v>
      </c>
      <c r="F4034" s="9">
        <v>93</v>
      </c>
      <c r="G4034" s="9">
        <v>1080</v>
      </c>
      <c r="H4034" s="5" t="s">
        <v>20</v>
      </c>
      <c r="I4034" s="5" t="s">
        <v>9387</v>
      </c>
      <c r="J4034" s="12" t="str">
        <f>HYPERLINK("https://www.boe.es/gazeta/dias/1807/10/16/pdfs/GMD-1807-93.pdf#page=8","Abrir facsímil")</f>
        <v>Abrir facsímil</v>
      </c>
      <c r="K4034" s="15" t="s">
        <v>22</v>
      </c>
    </row>
    <row r="4035" spans="1:11" ht="42" customHeight="1">
      <c r="A4035" s="4" t="s">
        <v>9388</v>
      </c>
      <c r="B4035" s="5" t="s">
        <v>9389</v>
      </c>
      <c r="C4035" s="5" t="s">
        <v>17</v>
      </c>
      <c r="D4035" s="5" t="s">
        <v>18</v>
      </c>
      <c r="E4035" s="5" t="s">
        <v>123</v>
      </c>
      <c r="F4035" s="9">
        <v>70</v>
      </c>
      <c r="G4035" s="9">
        <v>806</v>
      </c>
      <c r="H4035" s="5" t="s">
        <v>20</v>
      </c>
      <c r="I4035" s="5" t="s">
        <v>9390</v>
      </c>
      <c r="J4035" s="12" t="str">
        <f>HYPERLINK("https://www.boe.es/gazeta/dias/1807/08/04/pdfs/GMD-1807-70.pdf#page=10","Abrir facsímil")</f>
        <v>Abrir facsímil</v>
      </c>
      <c r="K4035" s="15" t="s">
        <v>22</v>
      </c>
    </row>
    <row r="4036" spans="1:11" ht="42" customHeight="1">
      <c r="A4036" s="4" t="s">
        <v>9391</v>
      </c>
      <c r="B4036" s="5" t="s">
        <v>9391</v>
      </c>
      <c r="C4036" s="5" t="s">
        <v>49</v>
      </c>
      <c r="D4036" s="5" t="s">
        <v>50</v>
      </c>
      <c r="E4036" s="5" t="s">
        <v>346</v>
      </c>
      <c r="F4036" s="9">
        <v>21</v>
      </c>
      <c r="G4036" s="9">
        <v>241</v>
      </c>
      <c r="H4036" s="5" t="s">
        <v>20</v>
      </c>
      <c r="I4036" s="5" t="s">
        <v>9392</v>
      </c>
      <c r="J4036" s="12" t="str">
        <f>HYPERLINK("https://www.boe.es/gazeta/dias/1807/03/03/pdfs/GMD-1807-21.pdf#page=5","Abrir facsímil")</f>
        <v>Abrir facsímil</v>
      </c>
      <c r="K4036" s="15" t="s">
        <v>22</v>
      </c>
    </row>
    <row r="4037" spans="1:11" ht="42" customHeight="1">
      <c r="A4037" s="4" t="s">
        <v>9391</v>
      </c>
      <c r="B4037" s="5" t="s">
        <v>9391</v>
      </c>
      <c r="C4037" s="5" t="s">
        <v>49</v>
      </c>
      <c r="D4037" s="5" t="s">
        <v>50</v>
      </c>
      <c r="E4037" s="5" t="s">
        <v>94</v>
      </c>
      <c r="F4037" s="9">
        <v>22</v>
      </c>
      <c r="G4037" s="9">
        <v>251</v>
      </c>
      <c r="H4037" s="5" t="s">
        <v>20</v>
      </c>
      <c r="I4037" s="5" t="s">
        <v>9393</v>
      </c>
      <c r="J4037" s="12" t="str">
        <f>HYPERLINK("https://www.boe.es/gazeta/dias/1807/03/06/pdfs/GMD-1807-22.pdf#page=3","Abrir facsímil")</f>
        <v>Abrir facsímil</v>
      </c>
      <c r="K4037" s="15" t="s">
        <v>22</v>
      </c>
    </row>
    <row r="4038" spans="1:11" ht="42" customHeight="1">
      <c r="A4038" s="4" t="s">
        <v>9391</v>
      </c>
      <c r="B4038" s="5" t="s">
        <v>9391</v>
      </c>
      <c r="C4038" s="5" t="s">
        <v>49</v>
      </c>
      <c r="D4038" s="5" t="s">
        <v>50</v>
      </c>
      <c r="E4038" s="5" t="s">
        <v>478</v>
      </c>
      <c r="F4038" s="9">
        <v>30</v>
      </c>
      <c r="G4038" s="9">
        <v>355</v>
      </c>
      <c r="H4038" s="5" t="s">
        <v>20</v>
      </c>
      <c r="I4038" s="5" t="s">
        <v>9394</v>
      </c>
      <c r="J4038" s="12" t="str">
        <f>HYPERLINK("https://www.boe.es/gazeta/dias/1807/04/03/pdfs/GMD-1807-30.pdf#page=7","Abrir facsímil")</f>
        <v>Abrir facsímil</v>
      </c>
      <c r="K4038" s="15" t="s">
        <v>22</v>
      </c>
    </row>
    <row r="4039" spans="1:11" ht="42" customHeight="1">
      <c r="A4039" s="4" t="s">
        <v>9391</v>
      </c>
      <c r="B4039" s="5" t="s">
        <v>9391</v>
      </c>
      <c r="C4039" s="5" t="s">
        <v>28</v>
      </c>
      <c r="D4039" s="5" t="s">
        <v>29</v>
      </c>
      <c r="E4039" s="5" t="s">
        <v>422</v>
      </c>
      <c r="F4039" s="9">
        <v>33</v>
      </c>
      <c r="G4039" s="9">
        <v>391</v>
      </c>
      <c r="H4039" s="5" t="s">
        <v>20</v>
      </c>
      <c r="I4039" s="5" t="s">
        <v>9395</v>
      </c>
      <c r="J4039" s="12" t="str">
        <f>HYPERLINK("https://www.boe.es/gazeta/dias/1807/04/14/pdfs/GMD-1807-33.pdf#page=7","Abrir facsímil")</f>
        <v>Abrir facsímil</v>
      </c>
      <c r="K4039" s="15" t="s">
        <v>22</v>
      </c>
    </row>
    <row r="4040" spans="1:11" ht="42" customHeight="1">
      <c r="A4040" s="4" t="s">
        <v>9391</v>
      </c>
      <c r="B4040" s="5" t="s">
        <v>9391</v>
      </c>
      <c r="C4040" s="5" t="s">
        <v>34</v>
      </c>
      <c r="D4040" s="5" t="s">
        <v>35</v>
      </c>
      <c r="E4040" s="5" t="s">
        <v>98</v>
      </c>
      <c r="F4040" s="9">
        <v>34</v>
      </c>
      <c r="G4040" s="9">
        <v>399</v>
      </c>
      <c r="H4040" s="5" t="s">
        <v>20</v>
      </c>
      <c r="I4040" s="5" t="s">
        <v>9396</v>
      </c>
      <c r="J4040" s="12" t="str">
        <f>HYPERLINK("https://www.boe.es/gazeta/dias/1807/04/17/pdfs/GMD-1807-34.pdf#page=3","Abrir facsímil")</f>
        <v>Abrir facsímil</v>
      </c>
      <c r="K4040" s="15" t="s">
        <v>22</v>
      </c>
    </row>
    <row r="4041" spans="1:11" ht="42" customHeight="1">
      <c r="A4041" s="4" t="s">
        <v>9391</v>
      </c>
      <c r="B4041" s="5" t="s">
        <v>9391</v>
      </c>
      <c r="C4041" s="5" t="s">
        <v>28</v>
      </c>
      <c r="D4041" s="5" t="s">
        <v>29</v>
      </c>
      <c r="E4041" s="5" t="s">
        <v>98</v>
      </c>
      <c r="F4041" s="9">
        <v>34</v>
      </c>
      <c r="G4041" s="9">
        <v>400</v>
      </c>
      <c r="H4041" s="5" t="s">
        <v>20</v>
      </c>
      <c r="I4041" s="5" t="s">
        <v>9397</v>
      </c>
      <c r="J4041" s="12" t="str">
        <f>HYPERLINK("https://www.boe.es/gazeta/dias/1807/04/17/pdfs/GMD-1807-34.pdf#page=4","Abrir facsímil")</f>
        <v>Abrir facsímil</v>
      </c>
      <c r="K4041" s="15" t="s">
        <v>22</v>
      </c>
    </row>
    <row r="4042" spans="1:11" ht="42" customHeight="1">
      <c r="A4042" s="4" t="s">
        <v>9391</v>
      </c>
      <c r="B4042" s="5" t="s">
        <v>9391</v>
      </c>
      <c r="C4042" s="5" t="s">
        <v>49</v>
      </c>
      <c r="D4042" s="5" t="s">
        <v>50</v>
      </c>
      <c r="E4042" s="5" t="s">
        <v>71</v>
      </c>
      <c r="F4042" s="9">
        <v>35</v>
      </c>
      <c r="G4042" s="9">
        <v>411</v>
      </c>
      <c r="H4042" s="5" t="s">
        <v>20</v>
      </c>
      <c r="I4042" s="5" t="s">
        <v>9398</v>
      </c>
      <c r="J4042" s="12" t="str">
        <f>HYPERLINK("https://www.boe.es/gazeta/dias/1807/04/21/pdfs/GMD-1807-35.pdf#page=3","Abrir facsímil")</f>
        <v>Abrir facsímil</v>
      </c>
      <c r="K4042" s="15" t="s">
        <v>22</v>
      </c>
    </row>
    <row r="4043" spans="1:11" ht="42" customHeight="1">
      <c r="A4043" s="4" t="s">
        <v>9391</v>
      </c>
      <c r="B4043" s="5" t="s">
        <v>9391</v>
      </c>
      <c r="C4043" s="5" t="s">
        <v>49</v>
      </c>
      <c r="D4043" s="5" t="s">
        <v>50</v>
      </c>
      <c r="E4043" s="5" t="s">
        <v>71</v>
      </c>
      <c r="F4043" s="9">
        <v>35</v>
      </c>
      <c r="G4043" s="9">
        <v>412</v>
      </c>
      <c r="H4043" s="5" t="s">
        <v>20</v>
      </c>
      <c r="I4043" s="5" t="s">
        <v>9399</v>
      </c>
      <c r="J4043" s="12" t="str">
        <f>HYPERLINK("https://www.boe.es/gazeta/dias/1807/04/21/pdfs/GMD-1807-35.pdf#page=4","Abrir facsímil")</f>
        <v>Abrir facsímil</v>
      </c>
      <c r="K4043" s="15" t="s">
        <v>22</v>
      </c>
    </row>
    <row r="4044" spans="1:11" ht="42" customHeight="1">
      <c r="A4044" s="4" t="s">
        <v>9391</v>
      </c>
      <c r="B4044" s="5" t="s">
        <v>9391</v>
      </c>
      <c r="C4044" s="5" t="s">
        <v>49</v>
      </c>
      <c r="D4044" s="5" t="s">
        <v>50</v>
      </c>
      <c r="E4044" s="5" t="s">
        <v>149</v>
      </c>
      <c r="F4044" s="9">
        <v>38</v>
      </c>
      <c r="G4044" s="9">
        <v>447</v>
      </c>
      <c r="H4044" s="5" t="s">
        <v>20</v>
      </c>
      <c r="I4044" s="5" t="s">
        <v>9400</v>
      </c>
      <c r="J4044" s="12" t="str">
        <f>HYPERLINK("https://www.boe.es/gazeta/dias/1807/05/01/pdfs/GMD-1807-38.pdf#page=3","Abrir facsímil")</f>
        <v>Abrir facsímil</v>
      </c>
      <c r="K4044" s="15" t="s">
        <v>22</v>
      </c>
    </row>
    <row r="4045" spans="1:11" ht="42" customHeight="1">
      <c r="A4045" s="4" t="s">
        <v>9401</v>
      </c>
      <c r="B4045" s="5" t="s">
        <v>9401</v>
      </c>
      <c r="C4045" s="5" t="s">
        <v>49</v>
      </c>
      <c r="D4045" s="5" t="s">
        <v>50</v>
      </c>
      <c r="E4045" s="5" t="s">
        <v>36</v>
      </c>
      <c r="F4045" s="9">
        <v>36</v>
      </c>
      <c r="G4045" s="9">
        <v>422</v>
      </c>
      <c r="H4045" s="5" t="s">
        <v>20</v>
      </c>
      <c r="I4045" s="5" t="s">
        <v>9402</v>
      </c>
      <c r="J4045" s="12" t="str">
        <f>HYPERLINK("https://www.boe.es/gazeta/dias/1807/04/24/pdfs/GMD-1807-36.pdf#page=2","Abrir facsímil")</f>
        <v>Abrir facsímil</v>
      </c>
      <c r="K4045" s="15" t="s">
        <v>22</v>
      </c>
    </row>
    <row r="4046" spans="1:11" ht="42" customHeight="1">
      <c r="A4046" s="4" t="s">
        <v>9403</v>
      </c>
      <c r="B4046" s="5" t="s">
        <v>9403</v>
      </c>
      <c r="C4046" s="5" t="s">
        <v>49</v>
      </c>
      <c r="D4046" s="5" t="s">
        <v>50</v>
      </c>
      <c r="E4046" s="5" t="s">
        <v>167</v>
      </c>
      <c r="F4046" s="9">
        <v>77</v>
      </c>
      <c r="G4046" s="9">
        <v>889</v>
      </c>
      <c r="H4046" s="5" t="s">
        <v>20</v>
      </c>
      <c r="I4046" s="5" t="s">
        <v>9404</v>
      </c>
      <c r="J4046" s="12" t="str">
        <f>HYPERLINK("https://www.boe.es/gazeta/dias/1807/08/28/pdfs/GMD-1807-77.pdf#page=5","Abrir facsímil")</f>
        <v>Abrir facsímil</v>
      </c>
      <c r="K4046" s="15" t="s">
        <v>22</v>
      </c>
    </row>
    <row r="4047" spans="1:11" ht="42" customHeight="1">
      <c r="A4047" s="4" t="s">
        <v>9405</v>
      </c>
      <c r="B4047" s="5" t="s">
        <v>9405</v>
      </c>
      <c r="C4047" s="5" t="s">
        <v>24</v>
      </c>
      <c r="D4047" s="5" t="s">
        <v>18</v>
      </c>
      <c r="E4047" s="5" t="s">
        <v>1340</v>
      </c>
      <c r="F4047" s="9">
        <v>114</v>
      </c>
      <c r="G4047" s="9">
        <v>1332</v>
      </c>
      <c r="H4047" s="5" t="s">
        <v>20</v>
      </c>
      <c r="I4047" s="5" t="s">
        <v>9406</v>
      </c>
      <c r="J4047" s="12" t="str">
        <f>HYPERLINK("https://www.boe.es/gazeta/dias/1807/12/25/pdfs/GMD-1807-114.pdf#page=8","Abrir facsímil")</f>
        <v>Abrir facsímil</v>
      </c>
      <c r="K4047" s="15" t="s">
        <v>22</v>
      </c>
    </row>
    <row r="4048" spans="1:11" ht="42" customHeight="1">
      <c r="A4048" s="4" t="s">
        <v>9407</v>
      </c>
      <c r="B4048" s="5" t="s">
        <v>9407</v>
      </c>
      <c r="C4048" s="5" t="s">
        <v>34</v>
      </c>
      <c r="D4048" s="5" t="s">
        <v>35</v>
      </c>
      <c r="E4048" s="5" t="s">
        <v>686</v>
      </c>
      <c r="F4048" s="9">
        <v>106</v>
      </c>
      <c r="G4048" s="9">
        <v>1238</v>
      </c>
      <c r="H4048" s="5" t="s">
        <v>20</v>
      </c>
      <c r="I4048" s="5" t="s">
        <v>9408</v>
      </c>
      <c r="J4048" s="12" t="str">
        <f>HYPERLINK("https://www.boe.es/gazeta/dias/1807/11/27/pdfs/GMD-1807-106.pdf#page=10","Abrir facsímil")</f>
        <v>Abrir facsímil</v>
      </c>
      <c r="K4048" s="15" t="s">
        <v>22</v>
      </c>
    </row>
    <row r="4049" spans="1:11" ht="42" customHeight="1">
      <c r="A4049" s="4" t="s">
        <v>9409</v>
      </c>
      <c r="B4049" s="5" t="s">
        <v>9410</v>
      </c>
      <c r="C4049" s="5" t="s">
        <v>34</v>
      </c>
      <c r="D4049" s="5" t="s">
        <v>35</v>
      </c>
      <c r="E4049" s="5" t="s">
        <v>123</v>
      </c>
      <c r="F4049" s="9">
        <v>70</v>
      </c>
      <c r="G4049" s="9">
        <v>805</v>
      </c>
      <c r="H4049" s="5" t="s">
        <v>20</v>
      </c>
      <c r="I4049" s="5" t="s">
        <v>9411</v>
      </c>
      <c r="J4049" s="12" t="str">
        <f>HYPERLINK("https://www.boe.es/gazeta/dias/1807/08/04/pdfs/GMD-1807-70.pdf#page=9","Abrir facsímil")</f>
        <v>Abrir facsímil</v>
      </c>
      <c r="K4049" s="15" t="s">
        <v>22</v>
      </c>
    </row>
    <row r="4050" spans="1:11" ht="42" customHeight="1">
      <c r="A4050" s="4" t="s">
        <v>9412</v>
      </c>
      <c r="B4050" s="5" t="s">
        <v>9413</v>
      </c>
      <c r="C4050" s="5" t="s">
        <v>28</v>
      </c>
      <c r="D4050" s="5" t="s">
        <v>29</v>
      </c>
      <c r="E4050" s="5" t="s">
        <v>36</v>
      </c>
      <c r="F4050" s="9">
        <v>36</v>
      </c>
      <c r="G4050" s="9">
        <v>429</v>
      </c>
      <c r="H4050" s="5" t="s">
        <v>20</v>
      </c>
      <c r="I4050" s="5" t="s">
        <v>9414</v>
      </c>
      <c r="J4050" s="12" t="str">
        <f>HYPERLINK("https://www.boe.es/gazeta/dias/1807/04/24/pdfs/GMD-1807-36.pdf#page=9","Abrir facsímil")</f>
        <v>Abrir facsímil</v>
      </c>
      <c r="K4050" s="15" t="s">
        <v>22</v>
      </c>
    </row>
    <row r="4051" spans="1:11" ht="42" customHeight="1">
      <c r="A4051" s="4" t="s">
        <v>9415</v>
      </c>
      <c r="B4051" s="5" t="s">
        <v>9416</v>
      </c>
      <c r="C4051" s="5" t="s">
        <v>69</v>
      </c>
      <c r="D4051" s="5" t="s">
        <v>70</v>
      </c>
      <c r="E4051" s="5" t="s">
        <v>71</v>
      </c>
      <c r="F4051" s="9">
        <v>35</v>
      </c>
      <c r="G4051" s="9" t="s">
        <v>72</v>
      </c>
      <c r="H4051" s="5" t="s">
        <v>20</v>
      </c>
      <c r="I4051" s="5" t="s">
        <v>9417</v>
      </c>
      <c r="J4051" s="12" t="str">
        <f>HYPERLINK("https://www.boe.es/gazeta/dias/1807/04/21/pdfs/C00001-00004.pdf#page=1","Abrir facsímil")</f>
        <v>Abrir facsímil</v>
      </c>
      <c r="K4051" s="15" t="s">
        <v>22</v>
      </c>
    </row>
    <row r="4052" spans="1:11" ht="42" customHeight="1">
      <c r="A4052" s="4" t="s">
        <v>9418</v>
      </c>
      <c r="B4052" s="5" t="s">
        <v>9418</v>
      </c>
      <c r="C4052" s="5" t="s">
        <v>89</v>
      </c>
      <c r="D4052" s="5" t="s">
        <v>90</v>
      </c>
      <c r="E4052" s="5" t="s">
        <v>139</v>
      </c>
      <c r="F4052" s="9">
        <v>110</v>
      </c>
      <c r="G4052" s="9">
        <v>1287</v>
      </c>
      <c r="H4052" s="5" t="s">
        <v>20</v>
      </c>
      <c r="I4052" s="5" t="s">
        <v>9419</v>
      </c>
      <c r="J4052" s="12" t="str">
        <f>HYPERLINK("https://www.boe.es/gazeta/dias/1807/12/11/pdfs/GMD-1807-110.pdf#page=11","Abrir facsímil")</f>
        <v>Abrir facsímil</v>
      </c>
      <c r="K4052" s="15" t="s">
        <v>22</v>
      </c>
    </row>
    <row r="4053" spans="1:11" ht="42" customHeight="1">
      <c r="A4053" s="4" t="s">
        <v>9420</v>
      </c>
      <c r="B4053" s="5" t="s">
        <v>9421</v>
      </c>
      <c r="C4053" s="5" t="s">
        <v>49</v>
      </c>
      <c r="D4053" s="5" t="s">
        <v>50</v>
      </c>
      <c r="E4053" s="5" t="s">
        <v>478</v>
      </c>
      <c r="F4053" s="9">
        <v>30</v>
      </c>
      <c r="G4053" s="9">
        <v>355</v>
      </c>
      <c r="H4053" s="5" t="s">
        <v>20</v>
      </c>
      <c r="I4053" s="5" t="s">
        <v>9422</v>
      </c>
      <c r="J4053" s="12" t="str">
        <f>HYPERLINK("https://www.boe.es/gazeta/dias/1807/04/03/pdfs/GMD-1807-30.pdf#page=7","Abrir facsímil")</f>
        <v>Abrir facsímil</v>
      </c>
      <c r="K4053" s="15" t="s">
        <v>22</v>
      </c>
    </row>
    <row r="4054" spans="1:11" ht="42" customHeight="1">
      <c r="A4054" s="4" t="s">
        <v>9423</v>
      </c>
      <c r="B4054" s="5" t="s">
        <v>9424</v>
      </c>
      <c r="C4054" s="5" t="s">
        <v>49</v>
      </c>
      <c r="D4054" s="5" t="s">
        <v>50</v>
      </c>
      <c r="E4054" s="5" t="s">
        <v>176</v>
      </c>
      <c r="F4054" s="9">
        <v>17</v>
      </c>
      <c r="G4054" s="9">
        <v>191</v>
      </c>
      <c r="H4054" s="5" t="s">
        <v>20</v>
      </c>
      <c r="I4054" s="5" t="s">
        <v>9425</v>
      </c>
      <c r="J4054" s="12" t="str">
        <f>HYPERLINK("https://www.boe.es/gazeta/dias/1807/02/20/pdfs/GMD-1807-17.pdf#page=3","Abrir facsímil")</f>
        <v>Abrir facsímil</v>
      </c>
      <c r="K4054" s="15" t="s">
        <v>22</v>
      </c>
    </row>
    <row r="4055" spans="1:11" ht="42" customHeight="1">
      <c r="A4055" s="4" t="s">
        <v>9426</v>
      </c>
      <c r="B4055" s="5" t="s">
        <v>9427</v>
      </c>
      <c r="C4055" s="5" t="s">
        <v>49</v>
      </c>
      <c r="D4055" s="5" t="s">
        <v>50</v>
      </c>
      <c r="E4055" s="5" t="s">
        <v>346</v>
      </c>
      <c r="F4055" s="9">
        <v>21</v>
      </c>
      <c r="G4055" s="9">
        <v>239</v>
      </c>
      <c r="H4055" s="5" t="s">
        <v>20</v>
      </c>
      <c r="I4055" s="5" t="s">
        <v>9428</v>
      </c>
      <c r="J4055" s="12" t="str">
        <f>HYPERLINK("https://www.boe.es/gazeta/dias/1807/03/03/pdfs/GMD-1807-21.pdf#page=3","Abrir facsímil")</f>
        <v>Abrir facsímil</v>
      </c>
      <c r="K4055" s="15" t="s">
        <v>22</v>
      </c>
    </row>
    <row r="4056" spans="1:11" ht="42" customHeight="1">
      <c r="A4056" s="4" t="s">
        <v>9429</v>
      </c>
      <c r="B4056" s="5" t="s">
        <v>9430</v>
      </c>
      <c r="C4056" s="5" t="s">
        <v>34</v>
      </c>
      <c r="D4056" s="5" t="s">
        <v>35</v>
      </c>
      <c r="E4056" s="5" t="s">
        <v>1177</v>
      </c>
      <c r="F4056" s="9">
        <v>101</v>
      </c>
      <c r="G4056" s="9">
        <v>1178</v>
      </c>
      <c r="H4056" s="5" t="s">
        <v>20</v>
      </c>
      <c r="I4056" s="5" t="s">
        <v>9431</v>
      </c>
      <c r="J4056" s="12" t="str">
        <f>HYPERLINK("https://www.boe.es/gazeta/dias/1807/11/13/pdfs/GMD-1807-101.pdf#page=10","Abrir facsímil")</f>
        <v>Abrir facsímil</v>
      </c>
      <c r="K4056" s="15" t="s">
        <v>22</v>
      </c>
    </row>
    <row r="4057" spans="1:11" ht="42" customHeight="1">
      <c r="A4057" s="4" t="s">
        <v>9432</v>
      </c>
      <c r="B4057" s="5" t="s">
        <v>9433</v>
      </c>
      <c r="C4057" s="5" t="s">
        <v>28</v>
      </c>
      <c r="D4057" s="5" t="s">
        <v>29</v>
      </c>
      <c r="E4057" s="5" t="s">
        <v>156</v>
      </c>
      <c r="F4057" s="9">
        <v>74</v>
      </c>
      <c r="G4057" s="9">
        <v>855</v>
      </c>
      <c r="H4057" s="5" t="s">
        <v>20</v>
      </c>
      <c r="I4057" s="5" t="s">
        <v>9434</v>
      </c>
      <c r="J4057" s="12" t="str">
        <f>HYPERLINK("https://www.boe.es/gazeta/dias/1807/08/18/pdfs/GMD-1807-74.pdf#page=7","Abrir facsímil")</f>
        <v>Abrir facsímil</v>
      </c>
      <c r="K4057" s="15" t="s">
        <v>22</v>
      </c>
    </row>
    <row r="4058" spans="1:11" ht="42" customHeight="1">
      <c r="A4058" s="4" t="s">
        <v>9432</v>
      </c>
      <c r="B4058" s="5" t="s">
        <v>9433</v>
      </c>
      <c r="C4058" s="5" t="s">
        <v>28</v>
      </c>
      <c r="D4058" s="5" t="s">
        <v>29</v>
      </c>
      <c r="E4058" s="5" t="s">
        <v>156</v>
      </c>
      <c r="F4058" s="9">
        <v>74</v>
      </c>
      <c r="G4058" s="9">
        <v>856</v>
      </c>
      <c r="H4058" s="5" t="s">
        <v>20</v>
      </c>
      <c r="I4058" s="5" t="s">
        <v>9435</v>
      </c>
      <c r="J4058" s="12" t="str">
        <f>HYPERLINK("https://www.boe.es/gazeta/dias/1807/08/18/pdfs/GMD-1807-74.pdf#page=8","Abrir facsímil")</f>
        <v>Abrir facsímil</v>
      </c>
      <c r="K4058" s="15" t="s">
        <v>22</v>
      </c>
    </row>
    <row r="4059" spans="1:11" ht="42" customHeight="1">
      <c r="A4059" s="4" t="s">
        <v>9436</v>
      </c>
      <c r="B4059" s="5" t="s">
        <v>9437</v>
      </c>
      <c r="C4059" s="5" t="s">
        <v>34</v>
      </c>
      <c r="D4059" s="5" t="s">
        <v>35</v>
      </c>
      <c r="E4059" s="5" t="s">
        <v>208</v>
      </c>
      <c r="F4059" s="9">
        <v>42</v>
      </c>
      <c r="G4059" s="9">
        <v>501</v>
      </c>
      <c r="H4059" s="5" t="s">
        <v>20</v>
      </c>
      <c r="I4059" s="5" t="s">
        <v>9438</v>
      </c>
      <c r="J4059" s="12" t="str">
        <f>HYPERLINK("https://www.boe.es/gazeta/dias/1807/05/15/pdfs/GMD-1807-42.pdf#page=7","Abrir facsímil")</f>
        <v>Abrir facsímil</v>
      </c>
      <c r="K4059" s="15" t="s">
        <v>22</v>
      </c>
    </row>
    <row r="4060" spans="1:11" ht="42" customHeight="1">
      <c r="A4060" s="4" t="s">
        <v>9439</v>
      </c>
      <c r="B4060" s="5" t="s">
        <v>9440</v>
      </c>
      <c r="C4060" s="5" t="s">
        <v>28</v>
      </c>
      <c r="D4060" s="5" t="s">
        <v>29</v>
      </c>
      <c r="E4060" s="5" t="s">
        <v>393</v>
      </c>
      <c r="F4060" s="9">
        <v>15</v>
      </c>
      <c r="G4060" s="9">
        <v>173</v>
      </c>
      <c r="H4060" s="5" t="s">
        <v>20</v>
      </c>
      <c r="I4060" s="5" t="s">
        <v>9441</v>
      </c>
      <c r="J4060" s="12" t="str">
        <f>HYPERLINK("https://www.boe.es/gazeta/dias/1807/02/13/pdfs/GMD-1807-15.pdf#page=9","Abrir facsímil")</f>
        <v>Abrir facsímil</v>
      </c>
      <c r="K4060" s="15" t="s">
        <v>22</v>
      </c>
    </row>
    <row r="4061" spans="1:11" ht="42" customHeight="1">
      <c r="A4061" s="4" t="s">
        <v>9442</v>
      </c>
      <c r="B4061" s="5" t="s">
        <v>9443</v>
      </c>
      <c r="C4061" s="5" t="s">
        <v>17</v>
      </c>
      <c r="D4061" s="5" t="s">
        <v>18</v>
      </c>
      <c r="E4061" s="5" t="s">
        <v>83</v>
      </c>
      <c r="F4061" s="9">
        <v>50</v>
      </c>
      <c r="G4061" s="9">
        <v>596</v>
      </c>
      <c r="H4061" s="5" t="s">
        <v>20</v>
      </c>
      <c r="I4061" s="5" t="s">
        <v>9444</v>
      </c>
      <c r="J4061" s="12" t="str">
        <f>HYPERLINK("https://www.boe.es/gazeta/dias/1807/06/12/pdfs/GMD-1807-50.pdf#page=10","Abrir facsímil")</f>
        <v>Abrir facsímil</v>
      </c>
      <c r="K4061" s="15" t="s">
        <v>22</v>
      </c>
    </row>
    <row r="4062" spans="1:11" ht="42" customHeight="1">
      <c r="A4062" s="4" t="s">
        <v>9445</v>
      </c>
      <c r="B4062" s="5" t="s">
        <v>9446</v>
      </c>
      <c r="C4062" s="5" t="s">
        <v>34</v>
      </c>
      <c r="D4062" s="5" t="s">
        <v>35</v>
      </c>
      <c r="E4062" s="5" t="s">
        <v>282</v>
      </c>
      <c r="F4062" s="9">
        <v>16</v>
      </c>
      <c r="G4062" s="9">
        <v>185</v>
      </c>
      <c r="H4062" s="5" t="s">
        <v>20</v>
      </c>
      <c r="I4062" s="5" t="s">
        <v>9447</v>
      </c>
      <c r="J4062" s="12" t="str">
        <f>HYPERLINK("https://www.boe.es/gazeta/dias/1807/02/17/pdfs/GMD-1807-16.pdf#page=9","Abrir facsímil")</f>
        <v>Abrir facsímil</v>
      </c>
      <c r="K4062" s="15" t="s">
        <v>22</v>
      </c>
    </row>
    <row r="4063" spans="1:11" ht="42" customHeight="1">
      <c r="A4063" s="4" t="s">
        <v>9448</v>
      </c>
      <c r="B4063" s="5" t="s">
        <v>9449</v>
      </c>
      <c r="C4063" s="5" t="s">
        <v>28</v>
      </c>
      <c r="D4063" s="5" t="s">
        <v>29</v>
      </c>
      <c r="E4063" s="5" t="s">
        <v>575</v>
      </c>
      <c r="F4063" s="9">
        <v>115</v>
      </c>
      <c r="G4063" s="9">
        <v>1337</v>
      </c>
      <c r="H4063" s="5" t="s">
        <v>20</v>
      </c>
      <c r="I4063" s="5" t="s">
        <v>9450</v>
      </c>
      <c r="J4063" s="12" t="str">
        <f>HYPERLINK("https://www.boe.es/gazeta/dias/1807/12/29/pdfs/GMD-1807-115.pdf#page=5","Abrir facsímil")</f>
        <v>Abrir facsímil</v>
      </c>
      <c r="K4063" s="15" t="s">
        <v>22</v>
      </c>
    </row>
    <row r="4064" spans="1:11" ht="42" customHeight="1">
      <c r="A4064" s="4" t="s">
        <v>9451</v>
      </c>
      <c r="B4064" s="5" t="s">
        <v>9451</v>
      </c>
      <c r="C4064" s="5" t="s">
        <v>28</v>
      </c>
      <c r="D4064" s="5" t="s">
        <v>29</v>
      </c>
      <c r="E4064" s="5" t="s">
        <v>444</v>
      </c>
      <c r="F4064" s="9">
        <v>95</v>
      </c>
      <c r="G4064" s="9">
        <v>1104</v>
      </c>
      <c r="H4064" s="5" t="s">
        <v>20</v>
      </c>
      <c r="I4064" s="5" t="s">
        <v>9452</v>
      </c>
      <c r="J4064" s="12" t="str">
        <f>HYPERLINK("https://www.boe.es/gazeta/dias/1807/10/23/pdfs/GMD-1807-95.pdf#page=8","Abrir facsímil")</f>
        <v>Abrir facsímil</v>
      </c>
      <c r="K4064" s="15" t="s">
        <v>22</v>
      </c>
    </row>
    <row r="4065" spans="1:11" ht="42" customHeight="1">
      <c r="A4065" s="4" t="s">
        <v>9453</v>
      </c>
      <c r="B4065" s="5" t="s">
        <v>9454</v>
      </c>
      <c r="C4065" s="5" t="s">
        <v>34</v>
      </c>
      <c r="D4065" s="5" t="s">
        <v>35</v>
      </c>
      <c r="E4065" s="5" t="s">
        <v>120</v>
      </c>
      <c r="F4065" s="9">
        <v>10</v>
      </c>
      <c r="G4065" s="9">
        <v>111</v>
      </c>
      <c r="H4065" s="5" t="s">
        <v>20</v>
      </c>
      <c r="I4065" s="5" t="s">
        <v>9455</v>
      </c>
      <c r="J4065" s="12" t="str">
        <f>HYPERLINK("https://www.boe.es/gazeta/dias/1807/01/27/pdfs/GMD-1807-10.pdf#page=7","Abrir facsímil")</f>
        <v>Abrir facsímil</v>
      </c>
      <c r="K4065" s="15" t="s">
        <v>22</v>
      </c>
    </row>
    <row r="4066" spans="1:11" ht="42" customHeight="1">
      <c r="A4066" s="4" t="s">
        <v>9456</v>
      </c>
      <c r="B4066" s="5" t="s">
        <v>9457</v>
      </c>
      <c r="C4066" s="5" t="s">
        <v>17</v>
      </c>
      <c r="D4066" s="5" t="s">
        <v>18</v>
      </c>
      <c r="E4066" s="5" t="s">
        <v>305</v>
      </c>
      <c r="F4066" s="9">
        <v>53</v>
      </c>
      <c r="G4066" s="9">
        <v>634</v>
      </c>
      <c r="H4066" s="5" t="s">
        <v>20</v>
      </c>
      <c r="I4066" s="5" t="s">
        <v>9458</v>
      </c>
      <c r="J4066" s="12" t="str">
        <f>HYPERLINK("https://www.boe.es/gazeta/dias/1807/06/23/pdfs/GMD-1807-53.pdf#page=8","Abrir facsímil")</f>
        <v>Abrir facsímil</v>
      </c>
      <c r="K4066" s="15" t="s">
        <v>22</v>
      </c>
    </row>
    <row r="4067" spans="1:11" ht="42" customHeight="1">
      <c r="A4067" s="4" t="s">
        <v>9459</v>
      </c>
      <c r="B4067" s="5" t="s">
        <v>9459</v>
      </c>
      <c r="C4067" s="5" t="s">
        <v>28</v>
      </c>
      <c r="D4067" s="5" t="s">
        <v>29</v>
      </c>
      <c r="E4067" s="5" t="s">
        <v>186</v>
      </c>
      <c r="F4067" s="9">
        <v>72</v>
      </c>
      <c r="G4067" s="9">
        <v>834</v>
      </c>
      <c r="H4067" s="5" t="s">
        <v>20</v>
      </c>
      <c r="I4067" s="5" t="s">
        <v>9460</v>
      </c>
      <c r="J4067" s="12" t="str">
        <f>HYPERLINK("https://www.boe.es/gazeta/dias/1807/08/11/pdfs/GMD-1807-72.pdf#page=14","Abrir facsímil")</f>
        <v>Abrir facsímil</v>
      </c>
      <c r="K4067" s="15" t="s">
        <v>22</v>
      </c>
    </row>
    <row r="4068" spans="1:11" ht="42" customHeight="1">
      <c r="A4068" s="4" t="s">
        <v>9461</v>
      </c>
      <c r="B4068" s="5" t="s">
        <v>9461</v>
      </c>
      <c r="C4068" s="5" t="s">
        <v>24</v>
      </c>
      <c r="D4068" s="5" t="s">
        <v>18</v>
      </c>
      <c r="E4068" s="5" t="s">
        <v>444</v>
      </c>
      <c r="F4068" s="9">
        <v>95</v>
      </c>
      <c r="G4068" s="9">
        <v>1097</v>
      </c>
      <c r="H4068" s="5" t="s">
        <v>20</v>
      </c>
      <c r="I4068" s="5" t="s">
        <v>9462</v>
      </c>
      <c r="J4068" s="12" t="str">
        <f>HYPERLINK("https://www.boe.es/gazeta/dias/1807/10/23/pdfs/GMD-1807-95.pdf#page=1","Abrir facsímil")</f>
        <v>Abrir facsímil</v>
      </c>
      <c r="K4068" s="15" t="s">
        <v>22</v>
      </c>
    </row>
    <row r="4069" spans="1:11" ht="42" customHeight="1">
      <c r="A4069" s="4" t="s">
        <v>9463</v>
      </c>
      <c r="B4069" s="5" t="s">
        <v>9463</v>
      </c>
      <c r="C4069" s="5" t="s">
        <v>17</v>
      </c>
      <c r="D4069" s="5" t="s">
        <v>18</v>
      </c>
      <c r="E4069" s="5" t="s">
        <v>127</v>
      </c>
      <c r="F4069" s="9">
        <v>81</v>
      </c>
      <c r="G4069" s="9">
        <v>944</v>
      </c>
      <c r="H4069" s="5" t="s">
        <v>20</v>
      </c>
      <c r="I4069" s="5" t="s">
        <v>9464</v>
      </c>
      <c r="J4069" s="12" t="str">
        <f>HYPERLINK("https://www.boe.es/gazeta/dias/1807/09/11/pdfs/GMD-1807-81.pdf#page=8","Abrir facsímil")</f>
        <v>Abrir facsímil</v>
      </c>
      <c r="K4069" s="15" t="s">
        <v>22</v>
      </c>
    </row>
    <row r="4070" spans="1:11" ht="42" customHeight="1">
      <c r="A4070" s="4" t="s">
        <v>9465</v>
      </c>
      <c r="B4070" s="5" t="s">
        <v>9466</v>
      </c>
      <c r="C4070" s="5" t="s">
        <v>34</v>
      </c>
      <c r="D4070" s="5" t="s">
        <v>35</v>
      </c>
      <c r="E4070" s="5" t="s">
        <v>111</v>
      </c>
      <c r="F4070" s="9">
        <v>90</v>
      </c>
      <c r="G4070" s="9">
        <v>1046</v>
      </c>
      <c r="H4070" s="5" t="s">
        <v>20</v>
      </c>
      <c r="I4070" s="5" t="s">
        <v>9467</v>
      </c>
      <c r="J4070" s="12" t="str">
        <f>HYPERLINK("https://www.boe.es/gazeta/dias/1807/10/06/pdfs/GMD-1807-90.pdf#page=14","Abrir facsímil")</f>
        <v>Abrir facsímil</v>
      </c>
      <c r="K4070" s="15" t="s">
        <v>22</v>
      </c>
    </row>
    <row r="4071" spans="1:11" ht="42" customHeight="1">
      <c r="A4071" s="4" t="s">
        <v>9468</v>
      </c>
      <c r="B4071" s="5" t="s">
        <v>9469</v>
      </c>
      <c r="C4071" s="5" t="s">
        <v>28</v>
      </c>
      <c r="D4071" s="5" t="s">
        <v>29</v>
      </c>
      <c r="E4071" s="5" t="s">
        <v>42</v>
      </c>
      <c r="F4071" s="9">
        <v>31</v>
      </c>
      <c r="G4071" s="9">
        <v>367</v>
      </c>
      <c r="H4071" s="5" t="s">
        <v>20</v>
      </c>
      <c r="I4071" s="5" t="s">
        <v>9470</v>
      </c>
      <c r="J4071" s="12" t="str">
        <f>HYPERLINK("https://www.boe.es/gazeta/dias/1807/04/07/pdfs/GMD-1807-31.pdf#page=7","Abrir facsímil")</f>
        <v>Abrir facsímil</v>
      </c>
      <c r="K4071" s="15" t="s">
        <v>22</v>
      </c>
    </row>
    <row r="4072" spans="1:11" ht="42" customHeight="1">
      <c r="A4072" s="4" t="s">
        <v>9471</v>
      </c>
      <c r="B4072" s="5" t="s">
        <v>9472</v>
      </c>
      <c r="C4072" s="5" t="s">
        <v>28</v>
      </c>
      <c r="D4072" s="5" t="s">
        <v>29</v>
      </c>
      <c r="E4072" s="5" t="s">
        <v>139</v>
      </c>
      <c r="F4072" s="9">
        <v>110</v>
      </c>
      <c r="G4072" s="9">
        <v>1287</v>
      </c>
      <c r="H4072" s="5" t="s">
        <v>20</v>
      </c>
      <c r="I4072" s="5" t="s">
        <v>9473</v>
      </c>
      <c r="J4072" s="12" t="str">
        <f>HYPERLINK("https://www.boe.es/gazeta/dias/1807/12/11/pdfs/GMD-1807-110.pdf#page=11","Abrir facsímil")</f>
        <v>Abrir facsímil</v>
      </c>
      <c r="K4072" s="15" t="s">
        <v>22</v>
      </c>
    </row>
    <row r="4073" spans="1:11" ht="42" customHeight="1">
      <c r="A4073" s="4" t="s">
        <v>9474</v>
      </c>
      <c r="B4073" s="5" t="s">
        <v>9475</v>
      </c>
      <c r="C4073" s="5" t="s">
        <v>34</v>
      </c>
      <c r="D4073" s="5" t="s">
        <v>35</v>
      </c>
      <c r="E4073" s="5" t="s">
        <v>176</v>
      </c>
      <c r="F4073" s="9">
        <v>17</v>
      </c>
      <c r="G4073" s="9">
        <v>195</v>
      </c>
      <c r="H4073" s="5" t="s">
        <v>20</v>
      </c>
      <c r="I4073" s="5" t="s">
        <v>9476</v>
      </c>
      <c r="J4073" s="12" t="str">
        <f>HYPERLINK("https://www.boe.es/gazeta/dias/1807/02/20/pdfs/GMD-1807-17.pdf#page=7","Abrir facsímil")</f>
        <v>Abrir facsímil</v>
      </c>
      <c r="K4073" s="15" t="s">
        <v>22</v>
      </c>
    </row>
    <row r="4074" spans="1:11" ht="42" customHeight="1">
      <c r="A4074" s="4" t="s">
        <v>9477</v>
      </c>
      <c r="B4074" s="5" t="s">
        <v>9478</v>
      </c>
      <c r="C4074" s="5" t="s">
        <v>34</v>
      </c>
      <c r="D4074" s="5" t="s">
        <v>35</v>
      </c>
      <c r="E4074" s="5" t="s">
        <v>221</v>
      </c>
      <c r="F4074" s="9">
        <v>73</v>
      </c>
      <c r="G4074" s="9">
        <v>845</v>
      </c>
      <c r="H4074" s="5" t="s">
        <v>20</v>
      </c>
      <c r="I4074" s="5" t="s">
        <v>9479</v>
      </c>
      <c r="J4074" s="12" t="str">
        <f>HYPERLINK("https://www.boe.es/gazeta/dias/1807/08/14/pdfs/GMD-1807-73.pdf#page=9","Abrir facsímil")</f>
        <v>Abrir facsímil</v>
      </c>
      <c r="K4074" s="15" t="s">
        <v>22</v>
      </c>
    </row>
    <row r="4075" spans="1:11" ht="42" customHeight="1">
      <c r="A4075" s="4" t="s">
        <v>9480</v>
      </c>
      <c r="B4075" s="5" t="s">
        <v>9481</v>
      </c>
      <c r="C4075" s="5" t="s">
        <v>34</v>
      </c>
      <c r="D4075" s="5" t="s">
        <v>35</v>
      </c>
      <c r="E4075" s="5" t="s">
        <v>19</v>
      </c>
      <c r="F4075" s="9">
        <v>41</v>
      </c>
      <c r="G4075" s="9">
        <v>489</v>
      </c>
      <c r="H4075" s="5" t="s">
        <v>20</v>
      </c>
      <c r="I4075" s="5" t="s">
        <v>9482</v>
      </c>
      <c r="J4075" s="12" t="str">
        <f>HYPERLINK("https://www.boe.es/gazeta/dias/1807/05/12/pdfs/GMD-1807-41.pdf#page=7","Abrir facsímil")</f>
        <v>Abrir facsímil</v>
      </c>
      <c r="K4075" s="15" t="s">
        <v>22</v>
      </c>
    </row>
    <row r="4076" spans="1:11" ht="42" customHeight="1">
      <c r="A4076" s="4" t="s">
        <v>9483</v>
      </c>
      <c r="B4076" s="5" t="s">
        <v>9484</v>
      </c>
      <c r="C4076" s="5" t="s">
        <v>28</v>
      </c>
      <c r="D4076" s="5" t="s">
        <v>29</v>
      </c>
      <c r="E4076" s="5" t="s">
        <v>221</v>
      </c>
      <c r="F4076" s="9">
        <v>73</v>
      </c>
      <c r="G4076" s="9">
        <v>846</v>
      </c>
      <c r="H4076" s="5" t="s">
        <v>20</v>
      </c>
      <c r="I4076" s="5" t="s">
        <v>9485</v>
      </c>
      <c r="J4076" s="12" t="str">
        <f>HYPERLINK("https://www.boe.es/gazeta/dias/1807/08/14/pdfs/GMD-1807-73.pdf#page=10","Abrir facsímil")</f>
        <v>Abrir facsímil</v>
      </c>
      <c r="K4076" s="15" t="s">
        <v>22</v>
      </c>
    </row>
    <row r="4077" spans="1:11" ht="42" customHeight="1">
      <c r="A4077" s="4" t="s">
        <v>9486</v>
      </c>
      <c r="B4077" s="5" t="s">
        <v>9487</v>
      </c>
      <c r="C4077" s="5" t="s">
        <v>28</v>
      </c>
      <c r="D4077" s="5" t="s">
        <v>29</v>
      </c>
      <c r="E4077" s="5" t="s">
        <v>666</v>
      </c>
      <c r="F4077" s="9">
        <v>43</v>
      </c>
      <c r="G4077" s="9">
        <v>516</v>
      </c>
      <c r="H4077" s="5" t="s">
        <v>20</v>
      </c>
      <c r="I4077" s="5" t="s">
        <v>9488</v>
      </c>
      <c r="J4077" s="12" t="str">
        <f>HYPERLINK("https://www.boe.es/gazeta/dias/1807/05/19/pdfs/GMD-1807-43.pdf#page=10","Abrir facsímil")</f>
        <v>Abrir facsímil</v>
      </c>
      <c r="K4077" s="15" t="s">
        <v>22</v>
      </c>
    </row>
    <row r="4078" spans="1:11" ht="42" customHeight="1">
      <c r="A4078" s="4" t="s">
        <v>9489</v>
      </c>
      <c r="B4078" s="5" t="s">
        <v>9490</v>
      </c>
      <c r="C4078" s="5" t="s">
        <v>34</v>
      </c>
      <c r="D4078" s="5" t="s">
        <v>35</v>
      </c>
      <c r="E4078" s="5" t="s">
        <v>384</v>
      </c>
      <c r="F4078" s="9">
        <v>111</v>
      </c>
      <c r="G4078" s="9">
        <v>1298</v>
      </c>
      <c r="H4078" s="5" t="s">
        <v>20</v>
      </c>
      <c r="I4078" s="5" t="s">
        <v>9491</v>
      </c>
      <c r="J4078" s="12" t="str">
        <f>HYPERLINK("https://www.boe.es/gazeta/dias/1807/12/15/pdfs/GMD-1807-111.pdf#page=10","Abrir facsímil")</f>
        <v>Abrir facsímil</v>
      </c>
      <c r="K4078" s="15" t="s">
        <v>22</v>
      </c>
    </row>
    <row r="4079" spans="1:11" ht="42" customHeight="1">
      <c r="A4079" s="4" t="s">
        <v>9492</v>
      </c>
      <c r="B4079" s="5" t="s">
        <v>9493</v>
      </c>
      <c r="C4079" s="5" t="s">
        <v>34</v>
      </c>
      <c r="D4079" s="5" t="s">
        <v>35</v>
      </c>
      <c r="E4079" s="5" t="s">
        <v>296</v>
      </c>
      <c r="F4079" s="9">
        <v>102</v>
      </c>
      <c r="G4079" s="9">
        <v>1189</v>
      </c>
      <c r="H4079" s="5" t="s">
        <v>20</v>
      </c>
      <c r="I4079" s="5" t="s">
        <v>9494</v>
      </c>
      <c r="J4079" s="12" t="str">
        <f>HYPERLINK("https://www.boe.es/gazeta/dias/1807/11/17/pdfs/GMD-1807-102.pdf#page=9","Abrir facsímil")</f>
        <v>Abrir facsímil</v>
      </c>
      <c r="K4079" s="15" t="s">
        <v>22</v>
      </c>
    </row>
    <row r="4080" spans="1:11" ht="42" customHeight="1">
      <c r="A4080" s="4" t="s">
        <v>9495</v>
      </c>
      <c r="B4080" s="5" t="s">
        <v>9495</v>
      </c>
      <c r="C4080" s="5" t="s">
        <v>89</v>
      </c>
      <c r="D4080" s="5" t="s">
        <v>90</v>
      </c>
      <c r="E4080" s="5" t="s">
        <v>1177</v>
      </c>
      <c r="F4080" s="9">
        <v>101</v>
      </c>
      <c r="G4080" s="9">
        <v>1175</v>
      </c>
      <c r="H4080" s="5" t="s">
        <v>20</v>
      </c>
      <c r="I4080" s="5" t="s">
        <v>9496</v>
      </c>
      <c r="J4080" s="12" t="str">
        <f>HYPERLINK("https://www.boe.es/gazeta/dias/1807/11/13/pdfs/GMD-1807-101.pdf#page=7","Abrir facsímil")</f>
        <v>Abrir facsímil</v>
      </c>
      <c r="K4080" s="15" t="s">
        <v>22</v>
      </c>
    </row>
    <row r="4081" spans="1:11" ht="42" customHeight="1">
      <c r="A4081" s="4" t="s">
        <v>9497</v>
      </c>
      <c r="B4081" s="5" t="s">
        <v>9497</v>
      </c>
      <c r="C4081" s="5" t="s">
        <v>34</v>
      </c>
      <c r="D4081" s="5" t="s">
        <v>35</v>
      </c>
      <c r="E4081" s="5" t="s">
        <v>321</v>
      </c>
      <c r="F4081" s="9">
        <v>75</v>
      </c>
      <c r="G4081" s="9">
        <v>861</v>
      </c>
      <c r="H4081" s="5" t="s">
        <v>20</v>
      </c>
      <c r="I4081" s="5" t="s">
        <v>9498</v>
      </c>
      <c r="J4081" s="12" t="str">
        <f>HYPERLINK("https://www.boe.es/gazeta/dias/1807/08/21/pdfs/GMD-1807-75.pdf#page=1","Abrir facsímil")</f>
        <v>Abrir facsímil</v>
      </c>
      <c r="K4081" s="15" t="s">
        <v>22</v>
      </c>
    </row>
    <row r="4082" spans="1:11" ht="42" customHeight="1">
      <c r="A4082" s="4" t="s">
        <v>9499</v>
      </c>
      <c r="B4082" s="5" t="s">
        <v>9499</v>
      </c>
      <c r="C4082" s="5" t="s">
        <v>49</v>
      </c>
      <c r="D4082" s="5" t="s">
        <v>50</v>
      </c>
      <c r="E4082" s="5" t="s">
        <v>305</v>
      </c>
      <c r="F4082" s="9">
        <v>53</v>
      </c>
      <c r="G4082" s="9">
        <v>630</v>
      </c>
      <c r="H4082" s="5" t="s">
        <v>20</v>
      </c>
      <c r="I4082" s="5" t="s">
        <v>9500</v>
      </c>
      <c r="J4082" s="12" t="str">
        <f>HYPERLINK("https://www.boe.es/gazeta/dias/1807/06/23/pdfs/GMD-1807-53.pdf#page=4","Abrir facsímil")</f>
        <v>Abrir facsímil</v>
      </c>
      <c r="K4082" s="15" t="s">
        <v>22</v>
      </c>
    </row>
    <row r="4083" spans="1:11" ht="42" customHeight="1">
      <c r="A4083" s="4" t="s">
        <v>9501</v>
      </c>
      <c r="B4083" s="5" t="s">
        <v>9501</v>
      </c>
      <c r="C4083" s="5" t="s">
        <v>49</v>
      </c>
      <c r="D4083" s="5" t="s">
        <v>50</v>
      </c>
      <c r="E4083" s="5" t="s">
        <v>86</v>
      </c>
      <c r="F4083" s="9">
        <v>12</v>
      </c>
      <c r="G4083" s="9">
        <v>129</v>
      </c>
      <c r="H4083" s="5" t="s">
        <v>20</v>
      </c>
      <c r="I4083" s="5" t="s">
        <v>9502</v>
      </c>
      <c r="J4083" s="12" t="str">
        <f>HYPERLINK("https://www.boe.es/gazeta/dias/1807/02/03/pdfs/GMD-1807-12.pdf#page=1","Abrir facsímil")</f>
        <v>Abrir facsímil</v>
      </c>
      <c r="K4083" s="15" t="s">
        <v>22</v>
      </c>
    </row>
    <row r="4084" spans="1:11" ht="42" customHeight="1">
      <c r="A4084" s="4" t="s">
        <v>9503</v>
      </c>
      <c r="B4084" s="5" t="s">
        <v>9503</v>
      </c>
      <c r="C4084" s="5" t="s">
        <v>28</v>
      </c>
      <c r="D4084" s="5" t="s">
        <v>29</v>
      </c>
      <c r="E4084" s="5" t="s">
        <v>156</v>
      </c>
      <c r="F4084" s="9">
        <v>74</v>
      </c>
      <c r="G4084" s="9">
        <v>852</v>
      </c>
      <c r="H4084" s="5" t="s">
        <v>20</v>
      </c>
      <c r="I4084" s="5" t="s">
        <v>9504</v>
      </c>
      <c r="J4084" s="12" t="str">
        <f>HYPERLINK("https://www.boe.es/gazeta/dias/1807/08/18/pdfs/GMD-1807-74.pdf#page=4","Abrir facsímil")</f>
        <v>Abrir facsímil</v>
      </c>
      <c r="K4084" s="15" t="s">
        <v>22</v>
      </c>
    </row>
    <row r="4085" spans="1:11" ht="42" customHeight="1">
      <c r="A4085" s="4" t="s">
        <v>9503</v>
      </c>
      <c r="B4085" s="5" t="s">
        <v>9503</v>
      </c>
      <c r="C4085" s="5" t="s">
        <v>34</v>
      </c>
      <c r="D4085" s="5" t="s">
        <v>35</v>
      </c>
      <c r="E4085" s="5" t="s">
        <v>321</v>
      </c>
      <c r="F4085" s="9">
        <v>75</v>
      </c>
      <c r="G4085" s="9">
        <v>867</v>
      </c>
      <c r="H4085" s="5" t="s">
        <v>20</v>
      </c>
      <c r="I4085" s="5" t="s">
        <v>9505</v>
      </c>
      <c r="J4085" s="12" t="str">
        <f>HYPERLINK("https://www.boe.es/gazeta/dias/1807/08/21/pdfs/GMD-1807-75.pdf#page=7","Abrir facsímil")</f>
        <v>Abrir facsímil</v>
      </c>
      <c r="K4085" s="15" t="s">
        <v>22</v>
      </c>
    </row>
    <row r="4086" spans="1:11" ht="42" customHeight="1">
      <c r="A4086" s="4" t="s">
        <v>9503</v>
      </c>
      <c r="B4086" s="5" t="s">
        <v>9503</v>
      </c>
      <c r="C4086" s="5" t="s">
        <v>49</v>
      </c>
      <c r="D4086" s="5" t="s">
        <v>50</v>
      </c>
      <c r="E4086" s="5" t="s">
        <v>111</v>
      </c>
      <c r="F4086" s="9">
        <v>90</v>
      </c>
      <c r="G4086" s="9">
        <v>1034</v>
      </c>
      <c r="H4086" s="5" t="s">
        <v>20</v>
      </c>
      <c r="I4086" s="5" t="s">
        <v>9506</v>
      </c>
      <c r="J4086" s="12" t="str">
        <f>HYPERLINK("https://www.boe.es/gazeta/dias/1807/10/06/pdfs/GMD-1807-90.pdf#page=2","Abrir facsímil")</f>
        <v>Abrir facsímil</v>
      </c>
      <c r="K4086" s="15" t="s">
        <v>22</v>
      </c>
    </row>
    <row r="4087" spans="1:11" ht="42" customHeight="1">
      <c r="A4087" s="4" t="s">
        <v>9503</v>
      </c>
      <c r="B4087" s="5" t="s">
        <v>9503</v>
      </c>
      <c r="C4087" s="5" t="s">
        <v>34</v>
      </c>
      <c r="D4087" s="5" t="s">
        <v>35</v>
      </c>
      <c r="E4087" s="5" t="s">
        <v>441</v>
      </c>
      <c r="F4087" s="9">
        <v>92</v>
      </c>
      <c r="G4087" s="9">
        <v>1065</v>
      </c>
      <c r="H4087" s="5" t="s">
        <v>20</v>
      </c>
      <c r="I4087" s="5" t="s">
        <v>9507</v>
      </c>
      <c r="J4087" s="12" t="str">
        <f>HYPERLINK("https://www.boe.es/gazeta/dias/1807/10/13/pdfs/GMD-1807-92.pdf#page=5","Abrir facsímil")</f>
        <v>Abrir facsímil</v>
      </c>
      <c r="K4087" s="15" t="s">
        <v>22</v>
      </c>
    </row>
    <row r="4088" spans="1:11" ht="42" customHeight="1">
      <c r="A4088" s="4" t="s">
        <v>9503</v>
      </c>
      <c r="B4088" s="5" t="s">
        <v>9503</v>
      </c>
      <c r="C4088" s="5" t="s">
        <v>28</v>
      </c>
      <c r="D4088" s="5" t="s">
        <v>29</v>
      </c>
      <c r="E4088" s="5" t="s">
        <v>1076</v>
      </c>
      <c r="F4088" s="9">
        <v>96</v>
      </c>
      <c r="G4088" s="9">
        <v>1117</v>
      </c>
      <c r="H4088" s="5" t="s">
        <v>20</v>
      </c>
      <c r="I4088" s="5" t="s">
        <v>9508</v>
      </c>
      <c r="J4088" s="12" t="str">
        <f>HYPERLINK("https://www.boe.es/gazeta/dias/1807/10/27/pdfs/GMD-1807-96.pdf#page=9","Abrir facsímil")</f>
        <v>Abrir facsímil</v>
      </c>
      <c r="K4088" s="15" t="s">
        <v>22</v>
      </c>
    </row>
    <row r="4089" spans="1:11" ht="42" customHeight="1">
      <c r="A4089" s="4" t="s">
        <v>9503</v>
      </c>
      <c r="B4089" s="5" t="s">
        <v>9503</v>
      </c>
      <c r="C4089" s="5" t="s">
        <v>34</v>
      </c>
      <c r="D4089" s="5" t="s">
        <v>35</v>
      </c>
      <c r="E4089" s="5" t="s">
        <v>350</v>
      </c>
      <c r="F4089" s="9">
        <v>112</v>
      </c>
      <c r="G4089" s="9">
        <v>1306</v>
      </c>
      <c r="H4089" s="5" t="s">
        <v>20</v>
      </c>
      <c r="I4089" s="5" t="s">
        <v>9509</v>
      </c>
      <c r="J4089" s="12" t="str">
        <f>HYPERLINK("https://www.boe.es/gazeta/dias/1807/12/18/pdfs/GMD-1807-112.pdf#page=6","Abrir facsímil")</f>
        <v>Abrir facsímil</v>
      </c>
      <c r="K4089" s="15" t="s">
        <v>22</v>
      </c>
    </row>
    <row r="4090" spans="1:11" ht="42" customHeight="1">
      <c r="A4090" s="4" t="s">
        <v>9510</v>
      </c>
      <c r="B4090" s="5" t="s">
        <v>9510</v>
      </c>
      <c r="C4090" s="5" t="s">
        <v>49</v>
      </c>
      <c r="D4090" s="5" t="s">
        <v>50</v>
      </c>
      <c r="E4090" s="5" t="s">
        <v>572</v>
      </c>
      <c r="F4090" s="9">
        <v>14</v>
      </c>
      <c r="G4090" s="9">
        <v>157</v>
      </c>
      <c r="H4090" s="5" t="s">
        <v>20</v>
      </c>
      <c r="I4090" s="5" t="s">
        <v>9511</v>
      </c>
      <c r="J4090" s="12" t="str">
        <f>HYPERLINK("https://www.boe.es/gazeta/dias/1807/02/10/pdfs/GMD-1807-14.pdf#page=5","Abrir facsímil")</f>
        <v>Abrir facsímil</v>
      </c>
      <c r="K4090" s="15" t="s">
        <v>22</v>
      </c>
    </row>
    <row r="4091" spans="1:11" ht="42" customHeight="1">
      <c r="A4091" s="4" t="s">
        <v>9512</v>
      </c>
      <c r="B4091" s="5" t="s">
        <v>9512</v>
      </c>
      <c r="C4091" s="5" t="s">
        <v>89</v>
      </c>
      <c r="D4091" s="5" t="s">
        <v>90</v>
      </c>
      <c r="E4091" s="5" t="s">
        <v>245</v>
      </c>
      <c r="F4091" s="9">
        <v>97</v>
      </c>
      <c r="G4091" s="9">
        <v>1132</v>
      </c>
      <c r="H4091" s="5" t="s">
        <v>20</v>
      </c>
      <c r="I4091" s="5" t="s">
        <v>9513</v>
      </c>
      <c r="J4091" s="12" t="str">
        <f>HYPERLINK("https://www.boe.es/gazeta/dias/1807/10/30/pdfs/GMD-1807-97.pdf#page=12","Abrir facsímil")</f>
        <v>Abrir facsímil</v>
      </c>
      <c r="K4091" s="15" t="s">
        <v>22</v>
      </c>
    </row>
    <row r="4092" spans="1:11" ht="42" customHeight="1">
      <c r="A4092" s="4" t="s">
        <v>9514</v>
      </c>
      <c r="B4092" s="5" t="s">
        <v>9515</v>
      </c>
      <c r="C4092" s="5" t="s">
        <v>34</v>
      </c>
      <c r="D4092" s="5" t="s">
        <v>35</v>
      </c>
      <c r="E4092" s="5" t="s">
        <v>471</v>
      </c>
      <c r="F4092" s="9">
        <v>51</v>
      </c>
      <c r="G4092" s="9">
        <v>606</v>
      </c>
      <c r="H4092" s="5" t="s">
        <v>20</v>
      </c>
      <c r="I4092" s="5" t="s">
        <v>9516</v>
      </c>
      <c r="J4092" s="12" t="str">
        <f>HYPERLINK("https://www.boe.es/gazeta/dias/1807/06/16/pdfs/GMD-1807-51.pdf#page=8","Abrir facsímil")</f>
        <v>Abrir facsímil</v>
      </c>
      <c r="K4092" s="15" t="s">
        <v>22</v>
      </c>
    </row>
    <row r="4093" spans="1:11" ht="42" customHeight="1">
      <c r="A4093" s="4" t="s">
        <v>9517</v>
      </c>
      <c r="B4093" s="5" t="s">
        <v>9518</v>
      </c>
      <c r="C4093" s="5" t="s">
        <v>28</v>
      </c>
      <c r="D4093" s="5" t="s">
        <v>29</v>
      </c>
      <c r="E4093" s="5" t="s">
        <v>167</v>
      </c>
      <c r="F4093" s="9">
        <v>77</v>
      </c>
      <c r="G4093" s="9">
        <v>891</v>
      </c>
      <c r="H4093" s="5" t="s">
        <v>20</v>
      </c>
      <c r="I4093" s="5" t="s">
        <v>9519</v>
      </c>
      <c r="J4093" s="12" t="str">
        <f>HYPERLINK("https://www.boe.es/gazeta/dias/1807/08/28/pdfs/GMD-1807-77.pdf#page=7","Abrir facsímil")</f>
        <v>Abrir facsímil</v>
      </c>
      <c r="K4093" s="15" t="s">
        <v>22</v>
      </c>
    </row>
    <row r="4094" spans="1:11" ht="42" customHeight="1">
      <c r="A4094" s="4" t="s">
        <v>9517</v>
      </c>
      <c r="B4094" s="5" t="s">
        <v>9518</v>
      </c>
      <c r="C4094" s="5" t="s">
        <v>34</v>
      </c>
      <c r="D4094" s="5" t="s">
        <v>35</v>
      </c>
      <c r="E4094" s="5" t="s">
        <v>686</v>
      </c>
      <c r="F4094" s="9">
        <v>106</v>
      </c>
      <c r="G4094" s="9">
        <v>1232</v>
      </c>
      <c r="H4094" s="5" t="s">
        <v>20</v>
      </c>
      <c r="I4094" s="5" t="s">
        <v>9520</v>
      </c>
      <c r="J4094" s="12" t="str">
        <f>HYPERLINK("https://www.boe.es/gazeta/dias/1807/11/27/pdfs/GMD-1807-106.pdf#page=4","Abrir facsímil")</f>
        <v>Abrir facsímil</v>
      </c>
      <c r="K4094" s="15" t="s">
        <v>22</v>
      </c>
    </row>
    <row r="4095" spans="1:11" ht="42" customHeight="1">
      <c r="A4095" s="4" t="s">
        <v>9521</v>
      </c>
      <c r="B4095" s="5" t="s">
        <v>9522</v>
      </c>
      <c r="C4095" s="5" t="s">
        <v>24</v>
      </c>
      <c r="D4095" s="5" t="s">
        <v>18</v>
      </c>
      <c r="E4095" s="5" t="s">
        <v>215</v>
      </c>
      <c r="F4095" s="9">
        <v>5</v>
      </c>
      <c r="G4095" s="9">
        <v>51</v>
      </c>
      <c r="H4095" s="5" t="s">
        <v>20</v>
      </c>
      <c r="I4095" s="5" t="s">
        <v>9523</v>
      </c>
      <c r="J4095" s="12" t="str">
        <f>HYPERLINK("https://www.boe.es/gazeta/dias/1807/01/16/pdfs/GMD-1807-5.pdf#page=7","Abrir facsímil")</f>
        <v>Abrir facsímil</v>
      </c>
      <c r="K4095" s="15" t="s">
        <v>22</v>
      </c>
    </row>
    <row r="4096" spans="1:11" ht="42" customHeight="1">
      <c r="A4096" s="4" t="s">
        <v>9524</v>
      </c>
      <c r="B4096" s="5" t="s">
        <v>9525</v>
      </c>
      <c r="C4096" s="5" t="s">
        <v>28</v>
      </c>
      <c r="D4096" s="5" t="s">
        <v>29</v>
      </c>
      <c r="E4096" s="5" t="s">
        <v>215</v>
      </c>
      <c r="F4096" s="9">
        <v>5</v>
      </c>
      <c r="G4096" s="9">
        <v>50</v>
      </c>
      <c r="H4096" s="5" t="s">
        <v>20</v>
      </c>
      <c r="I4096" s="5" t="s">
        <v>9526</v>
      </c>
      <c r="J4096" s="12" t="str">
        <f>HYPERLINK("https://www.boe.es/gazeta/dias/1807/01/16/pdfs/GMD-1807-5.pdf#page=6","Abrir facsímil")</f>
        <v>Abrir facsímil</v>
      </c>
      <c r="K4096" s="15" t="s">
        <v>22</v>
      </c>
    </row>
    <row r="4097" spans="1:11" ht="42" customHeight="1">
      <c r="A4097" s="4" t="s">
        <v>9524</v>
      </c>
      <c r="B4097" s="5" t="s">
        <v>9525</v>
      </c>
      <c r="C4097" s="5" t="s">
        <v>252</v>
      </c>
      <c r="D4097" s="5" t="s">
        <v>253</v>
      </c>
      <c r="E4097" s="5" t="s">
        <v>534</v>
      </c>
      <c r="F4097" s="9" t="s">
        <v>535</v>
      </c>
      <c r="G4097" s="9">
        <v>101</v>
      </c>
      <c r="H4097" s="5" t="s">
        <v>20</v>
      </c>
      <c r="I4097" s="5" t="s">
        <v>9527</v>
      </c>
      <c r="J4097" s="12" t="str">
        <f>HYPERLINK("https://www.boe.es/gazeta/dias/1807/01/24/pdfs/GMD-1807-9E.pdf#page=5","Abrir facsímil")</f>
        <v>Abrir facsímil</v>
      </c>
      <c r="K4097" s="15" t="s">
        <v>22</v>
      </c>
    </row>
    <row r="4098" spans="1:11" ht="42" customHeight="1">
      <c r="A4098" s="4" t="s">
        <v>9524</v>
      </c>
      <c r="B4098" s="5" t="s">
        <v>9525</v>
      </c>
      <c r="C4098" s="5" t="s">
        <v>24</v>
      </c>
      <c r="D4098" s="5" t="s">
        <v>18</v>
      </c>
      <c r="E4098" s="5" t="s">
        <v>534</v>
      </c>
      <c r="F4098" s="9" t="s">
        <v>535</v>
      </c>
      <c r="G4098" s="9">
        <v>98</v>
      </c>
      <c r="H4098" s="5" t="s">
        <v>20</v>
      </c>
      <c r="I4098" s="5" t="s">
        <v>9528</v>
      </c>
      <c r="J4098" s="12" t="str">
        <f>HYPERLINK("https://www.boe.es/gazeta/dias/1807/01/24/pdfs/GMD-1807-9E.pdf#page=2","Abrir facsímil")</f>
        <v>Abrir facsímil</v>
      </c>
      <c r="K4098" s="15" t="s">
        <v>22</v>
      </c>
    </row>
    <row r="4099" spans="1:11" ht="42" customHeight="1">
      <c r="A4099" s="4" t="s">
        <v>9524</v>
      </c>
      <c r="B4099" s="5" t="s">
        <v>9525</v>
      </c>
      <c r="C4099" s="5" t="s">
        <v>49</v>
      </c>
      <c r="D4099" s="5" t="s">
        <v>50</v>
      </c>
      <c r="E4099" s="5" t="s">
        <v>376</v>
      </c>
      <c r="F4099" s="9">
        <v>19</v>
      </c>
      <c r="G4099" s="9">
        <v>220</v>
      </c>
      <c r="H4099" s="5" t="s">
        <v>20</v>
      </c>
      <c r="I4099" s="5" t="s">
        <v>9529</v>
      </c>
      <c r="J4099" s="12" t="str">
        <f>HYPERLINK("https://www.boe.es/gazeta/dias/1807/02/27/pdfs/GMD-1807-19.pdf#page=4","Abrir facsímil")</f>
        <v>Abrir facsímil</v>
      </c>
      <c r="K4099" s="15" t="s">
        <v>22</v>
      </c>
    </row>
    <row r="4100" spans="1:11" ht="42" customHeight="1">
      <c r="A4100" s="4" t="s">
        <v>9530</v>
      </c>
      <c r="B4100" s="5" t="s">
        <v>9531</v>
      </c>
      <c r="C4100" s="5" t="s">
        <v>89</v>
      </c>
      <c r="D4100" s="5" t="s">
        <v>90</v>
      </c>
      <c r="E4100" s="5" t="s">
        <v>65</v>
      </c>
      <c r="F4100" s="9">
        <v>52</v>
      </c>
      <c r="G4100" s="9">
        <v>626</v>
      </c>
      <c r="H4100" s="5" t="s">
        <v>20</v>
      </c>
      <c r="I4100" s="5" t="s">
        <v>9532</v>
      </c>
      <c r="J4100" s="12" t="str">
        <f>HYPERLINK("https://www.boe.es/gazeta/dias/1807/06/19/pdfs/GMD-1807-52.pdf#page=16","Abrir facsímil")</f>
        <v>Abrir facsímil</v>
      </c>
      <c r="K4100" s="15" t="s">
        <v>22</v>
      </c>
    </row>
    <row r="4101" spans="1:11" ht="42" customHeight="1">
      <c r="A4101" s="4" t="s">
        <v>9533</v>
      </c>
      <c r="B4101" s="5" t="s">
        <v>9534</v>
      </c>
      <c r="C4101" s="5" t="s">
        <v>34</v>
      </c>
      <c r="D4101" s="5" t="s">
        <v>35</v>
      </c>
      <c r="E4101" s="5" t="s">
        <v>575</v>
      </c>
      <c r="F4101" s="9">
        <v>115</v>
      </c>
      <c r="G4101" s="9">
        <v>1336</v>
      </c>
      <c r="H4101" s="5" t="s">
        <v>20</v>
      </c>
      <c r="I4101" s="5" t="s">
        <v>9535</v>
      </c>
      <c r="J4101" s="12" t="str">
        <f>HYPERLINK("https://www.boe.es/gazeta/dias/1807/12/29/pdfs/GMD-1807-115.pdf#page=4","Abrir facsímil")</f>
        <v>Abrir facsímil</v>
      </c>
      <c r="K4101" s="15" t="s">
        <v>22</v>
      </c>
    </row>
    <row r="4102" spans="1:11" ht="42" customHeight="1">
      <c r="A4102" s="4" t="s">
        <v>9536</v>
      </c>
      <c r="B4102" s="5" t="s">
        <v>9537</v>
      </c>
      <c r="C4102" s="5" t="s">
        <v>28</v>
      </c>
      <c r="D4102" s="5" t="s">
        <v>29</v>
      </c>
      <c r="E4102" s="5" t="s">
        <v>327</v>
      </c>
      <c r="F4102" s="9">
        <v>108</v>
      </c>
      <c r="G4102" s="9">
        <v>1258</v>
      </c>
      <c r="H4102" s="5" t="s">
        <v>20</v>
      </c>
      <c r="I4102" s="5" t="s">
        <v>9538</v>
      </c>
      <c r="J4102" s="12" t="str">
        <f>HYPERLINK("https://www.boe.es/gazeta/dias/1807/12/04/pdfs/GMD-1807-108.pdf#page=6","Abrir facsímil")</f>
        <v>Abrir facsímil</v>
      </c>
      <c r="K4102" s="15" t="s">
        <v>22</v>
      </c>
    </row>
    <row r="4103" spans="1:11" ht="42" customHeight="1">
      <c r="A4103" s="4" t="s">
        <v>9539</v>
      </c>
      <c r="B4103" s="5" t="s">
        <v>9540</v>
      </c>
      <c r="C4103" s="5" t="s">
        <v>49</v>
      </c>
      <c r="D4103" s="5" t="s">
        <v>50</v>
      </c>
      <c r="E4103" s="5" t="s">
        <v>361</v>
      </c>
      <c r="F4103" s="9">
        <v>113</v>
      </c>
      <c r="G4103" s="9">
        <v>1315</v>
      </c>
      <c r="H4103" s="5" t="s">
        <v>20</v>
      </c>
      <c r="I4103" s="5" t="s">
        <v>9541</v>
      </c>
      <c r="J4103" s="12" t="str">
        <f>HYPERLINK("https://www.boe.es/gazeta/dias/1807/12/22/pdfs/GMD-1807-113.pdf#page=3","Abrir facsímil")</f>
        <v>Abrir facsímil</v>
      </c>
      <c r="K4103" s="15" t="s">
        <v>22</v>
      </c>
    </row>
    <row r="4104" spans="1:11" ht="42" customHeight="1">
      <c r="A4104" s="4" t="s">
        <v>9542</v>
      </c>
      <c r="B4104" s="5" t="s">
        <v>9543</v>
      </c>
      <c r="C4104" s="5" t="s">
        <v>49</v>
      </c>
      <c r="D4104" s="5" t="s">
        <v>50</v>
      </c>
      <c r="E4104" s="5" t="s">
        <v>296</v>
      </c>
      <c r="F4104" s="9">
        <v>102</v>
      </c>
      <c r="G4104" s="9">
        <v>1186</v>
      </c>
      <c r="H4104" s="5" t="s">
        <v>20</v>
      </c>
      <c r="I4104" s="5" t="s">
        <v>9544</v>
      </c>
      <c r="J4104" s="12" t="str">
        <f>HYPERLINK("https://www.boe.es/gazeta/dias/1807/11/17/pdfs/GMD-1807-102.pdf#page=6","Abrir facsímil")</f>
        <v>Abrir facsímil</v>
      </c>
      <c r="K4104" s="15" t="s">
        <v>22</v>
      </c>
    </row>
    <row r="4105" spans="1:11" ht="42" customHeight="1">
      <c r="A4105" s="4" t="s">
        <v>9545</v>
      </c>
      <c r="B4105" s="5" t="s">
        <v>9546</v>
      </c>
      <c r="C4105" s="5" t="s">
        <v>34</v>
      </c>
      <c r="D4105" s="5" t="s">
        <v>35</v>
      </c>
      <c r="E4105" s="5" t="s">
        <v>1456</v>
      </c>
      <c r="F4105" s="9">
        <v>98</v>
      </c>
      <c r="G4105" s="9">
        <v>1133</v>
      </c>
      <c r="H4105" s="5" t="s">
        <v>20</v>
      </c>
      <c r="I4105" s="5" t="s">
        <v>9547</v>
      </c>
      <c r="J4105" s="12" t="str">
        <f>HYPERLINK("https://www.boe.es/gazeta/dias/1807/11/03/pdfs/GMD-1807-98.pdf#page=1","Abrir facsímil")</f>
        <v>Abrir facsímil</v>
      </c>
      <c r="K4105" s="15" t="s">
        <v>22</v>
      </c>
    </row>
    <row r="4106" spans="1:11" ht="42" customHeight="1">
      <c r="A4106" s="4" t="s">
        <v>9548</v>
      </c>
      <c r="B4106" s="5" t="s">
        <v>9549</v>
      </c>
      <c r="C4106" s="5" t="s">
        <v>28</v>
      </c>
      <c r="D4106" s="5" t="s">
        <v>29</v>
      </c>
      <c r="E4106" s="5" t="s">
        <v>561</v>
      </c>
      <c r="F4106" s="9">
        <v>44</v>
      </c>
      <c r="G4106" s="9">
        <v>527</v>
      </c>
      <c r="H4106" s="5" t="s">
        <v>20</v>
      </c>
      <c r="I4106" s="5" t="s">
        <v>9550</v>
      </c>
      <c r="J4106" s="12" t="str">
        <f>HYPERLINK("https://www.boe.es/gazeta/dias/1807/05/22/pdfs/GMD-1807-44.pdf#page=9","Abrir facsímil")</f>
        <v>Abrir facsímil</v>
      </c>
      <c r="K4106" s="15" t="s">
        <v>22</v>
      </c>
    </row>
    <row r="4107" spans="1:11" ht="42" customHeight="1">
      <c r="A4107" s="4" t="s">
        <v>9551</v>
      </c>
      <c r="B4107" s="5" t="s">
        <v>9552</v>
      </c>
      <c r="C4107" s="5" t="s">
        <v>28</v>
      </c>
      <c r="D4107" s="5" t="s">
        <v>29</v>
      </c>
      <c r="E4107" s="5" t="s">
        <v>114</v>
      </c>
      <c r="F4107" s="9">
        <v>46</v>
      </c>
      <c r="G4107" s="9">
        <v>550</v>
      </c>
      <c r="H4107" s="5" t="s">
        <v>20</v>
      </c>
      <c r="I4107" s="5" t="s">
        <v>9553</v>
      </c>
      <c r="J4107" s="12" t="str">
        <f>HYPERLINK("https://www.boe.es/gazeta/dias/1807/05/29/pdfs/GMD-1807-46.pdf#page=8","Abrir facsímil")</f>
        <v>Abrir facsímil</v>
      </c>
      <c r="K4107" s="15" t="s">
        <v>22</v>
      </c>
    </row>
    <row r="4108" spans="1:11" ht="42" customHeight="1">
      <c r="A4108" s="4" t="s">
        <v>9551</v>
      </c>
      <c r="B4108" s="5" t="s">
        <v>9552</v>
      </c>
      <c r="C4108" s="5" t="s">
        <v>89</v>
      </c>
      <c r="D4108" s="5" t="s">
        <v>90</v>
      </c>
      <c r="E4108" s="5" t="s">
        <v>46</v>
      </c>
      <c r="F4108" s="9">
        <v>78</v>
      </c>
      <c r="G4108" s="9">
        <v>906</v>
      </c>
      <c r="H4108" s="5" t="s">
        <v>20</v>
      </c>
      <c r="I4108" s="5" t="s">
        <v>9554</v>
      </c>
      <c r="J4108" s="12" t="str">
        <f>HYPERLINK("https://www.boe.es/gazeta/dias/1807/09/01/pdfs/GMD-1807-78.pdf#page=10","Abrir facsímil")</f>
        <v>Abrir facsímil</v>
      </c>
      <c r="K4108" s="15" t="s">
        <v>22</v>
      </c>
    </row>
    <row r="4109" spans="1:11" ht="42" customHeight="1">
      <c r="A4109" s="4" t="s">
        <v>9551</v>
      </c>
      <c r="B4109" s="5" t="s">
        <v>9552</v>
      </c>
      <c r="C4109" s="5" t="s">
        <v>89</v>
      </c>
      <c r="D4109" s="5" t="s">
        <v>90</v>
      </c>
      <c r="E4109" s="5" t="s">
        <v>135</v>
      </c>
      <c r="F4109" s="9">
        <v>80</v>
      </c>
      <c r="G4109" s="9">
        <v>936</v>
      </c>
      <c r="H4109" s="5" t="s">
        <v>20</v>
      </c>
      <c r="I4109" s="5" t="s">
        <v>9555</v>
      </c>
      <c r="J4109" s="12" t="str">
        <f>HYPERLINK("https://www.boe.es/gazeta/dias/1807/09/08/pdfs/GMD-1807-80.pdf#page=12","Abrir facsímil")</f>
        <v>Abrir facsímil</v>
      </c>
      <c r="K4109" s="15" t="s">
        <v>22</v>
      </c>
    </row>
    <row r="4110" spans="1:11" ht="42" customHeight="1">
      <c r="A4110" s="4" t="s">
        <v>9551</v>
      </c>
      <c r="B4110" s="5" t="s">
        <v>9552</v>
      </c>
      <c r="C4110" s="5" t="s">
        <v>28</v>
      </c>
      <c r="D4110" s="5" t="s">
        <v>29</v>
      </c>
      <c r="E4110" s="5" t="s">
        <v>111</v>
      </c>
      <c r="F4110" s="9">
        <v>90</v>
      </c>
      <c r="G4110" s="9">
        <v>1047</v>
      </c>
      <c r="H4110" s="5" t="s">
        <v>20</v>
      </c>
      <c r="I4110" s="5" t="s">
        <v>9556</v>
      </c>
      <c r="J4110" s="12" t="str">
        <f>HYPERLINK("https://www.boe.es/gazeta/dias/1807/10/06/pdfs/GMD-1807-90.pdf#page=15","Abrir facsímil")</f>
        <v>Abrir facsímil</v>
      </c>
      <c r="K4110" s="15" t="s">
        <v>22</v>
      </c>
    </row>
    <row r="4111" spans="1:11" ht="42" customHeight="1">
      <c r="A4111" s="4" t="s">
        <v>9557</v>
      </c>
      <c r="B4111" s="5" t="s">
        <v>9558</v>
      </c>
      <c r="C4111" s="5" t="s">
        <v>28</v>
      </c>
      <c r="D4111" s="5" t="s">
        <v>29</v>
      </c>
      <c r="E4111" s="5" t="s">
        <v>266</v>
      </c>
      <c r="F4111" s="9">
        <v>67</v>
      </c>
      <c r="G4111" s="9">
        <v>775</v>
      </c>
      <c r="H4111" s="5" t="s">
        <v>20</v>
      </c>
      <c r="I4111" s="5" t="s">
        <v>9559</v>
      </c>
      <c r="J4111" s="12" t="str">
        <f>HYPERLINK("https://www.boe.es/gazeta/dias/1807/07/28/pdfs/GMD-1807-67.pdf#page=11","Abrir facsímil")</f>
        <v>Abrir facsímil</v>
      </c>
      <c r="K4111" s="15" t="s">
        <v>22</v>
      </c>
    </row>
    <row r="4112" spans="1:11" ht="42" customHeight="1">
      <c r="A4112" s="4" t="s">
        <v>9557</v>
      </c>
      <c r="B4112" s="5" t="s">
        <v>9558</v>
      </c>
      <c r="C4112" s="5" t="s">
        <v>28</v>
      </c>
      <c r="D4112" s="5" t="s">
        <v>29</v>
      </c>
      <c r="E4112" s="5" t="s">
        <v>221</v>
      </c>
      <c r="F4112" s="9">
        <v>73</v>
      </c>
      <c r="G4112" s="9">
        <v>847</v>
      </c>
      <c r="H4112" s="5" t="s">
        <v>20</v>
      </c>
      <c r="I4112" s="5" t="s">
        <v>9560</v>
      </c>
      <c r="J4112" s="12" t="str">
        <f>HYPERLINK("https://www.boe.es/gazeta/dias/1807/08/14/pdfs/GMD-1807-73.pdf#page=11","Abrir facsímil")</f>
        <v>Abrir facsímil</v>
      </c>
      <c r="K4112" s="15" t="s">
        <v>22</v>
      </c>
    </row>
    <row r="4113" spans="1:11" ht="42" customHeight="1">
      <c r="A4113" s="4" t="s">
        <v>9557</v>
      </c>
      <c r="B4113" s="5" t="s">
        <v>9558</v>
      </c>
      <c r="C4113" s="5" t="s">
        <v>28</v>
      </c>
      <c r="D4113" s="5" t="s">
        <v>29</v>
      </c>
      <c r="E4113" s="5" t="s">
        <v>406</v>
      </c>
      <c r="F4113" s="9">
        <v>82</v>
      </c>
      <c r="G4113" s="9">
        <v>960</v>
      </c>
      <c r="H4113" s="5" t="s">
        <v>20</v>
      </c>
      <c r="I4113" s="5" t="s">
        <v>9561</v>
      </c>
      <c r="J4113" s="12" t="str">
        <f>HYPERLINK("https://www.boe.es/gazeta/dias/1807/09/15/pdfs/GMD-1807-82.pdf#page=12","Abrir facsímil")</f>
        <v>Abrir facsímil</v>
      </c>
      <c r="K4113" s="15" t="s">
        <v>22</v>
      </c>
    </row>
    <row r="4114" spans="1:11" ht="42" customHeight="1">
      <c r="A4114" s="4" t="s">
        <v>9557</v>
      </c>
      <c r="B4114" s="5" t="s">
        <v>9558</v>
      </c>
      <c r="C4114" s="5" t="s">
        <v>28</v>
      </c>
      <c r="D4114" s="5" t="s">
        <v>29</v>
      </c>
      <c r="E4114" s="5" t="s">
        <v>441</v>
      </c>
      <c r="F4114" s="9">
        <v>92</v>
      </c>
      <c r="G4114" s="9">
        <v>1071</v>
      </c>
      <c r="H4114" s="5" t="s">
        <v>20</v>
      </c>
      <c r="I4114" s="5" t="s">
        <v>9562</v>
      </c>
      <c r="J4114" s="12" t="str">
        <f>HYPERLINK("https://www.boe.es/gazeta/dias/1807/10/13/pdfs/GMD-1807-92.pdf#page=11","Abrir facsímil")</f>
        <v>Abrir facsímil</v>
      </c>
      <c r="K4114" s="15" t="s">
        <v>22</v>
      </c>
    </row>
    <row r="4115" spans="1:11" ht="42" customHeight="1">
      <c r="A4115" s="4" t="s">
        <v>9563</v>
      </c>
      <c r="B4115" s="5" t="s">
        <v>9563</v>
      </c>
      <c r="C4115" s="5" t="s">
        <v>24</v>
      </c>
      <c r="D4115" s="5" t="s">
        <v>18</v>
      </c>
      <c r="E4115" s="5" t="s">
        <v>266</v>
      </c>
      <c r="F4115" s="9">
        <v>67</v>
      </c>
      <c r="G4115" s="9">
        <v>774</v>
      </c>
      <c r="H4115" s="5" t="s">
        <v>20</v>
      </c>
      <c r="I4115" s="5" t="s">
        <v>9564</v>
      </c>
      <c r="J4115" s="12" t="str">
        <f>HYPERLINK("https://www.boe.es/gazeta/dias/1807/07/28/pdfs/GMD-1807-67.pdf#page=10","Abrir facsímil")</f>
        <v>Abrir facsímil</v>
      </c>
      <c r="K4115" s="15" t="s">
        <v>22</v>
      </c>
    </row>
    <row r="4116" spans="1:11" ht="42" customHeight="1">
      <c r="A4116" s="4" t="s">
        <v>9565</v>
      </c>
      <c r="B4116" s="5" t="s">
        <v>9565</v>
      </c>
      <c r="C4116" s="5" t="s">
        <v>24</v>
      </c>
      <c r="D4116" s="5" t="s">
        <v>18</v>
      </c>
      <c r="E4116" s="5" t="s">
        <v>208</v>
      </c>
      <c r="F4116" s="9">
        <v>42</v>
      </c>
      <c r="G4116" s="9">
        <v>503</v>
      </c>
      <c r="H4116" s="5" t="s">
        <v>20</v>
      </c>
      <c r="I4116" s="5" t="s">
        <v>9566</v>
      </c>
      <c r="J4116" s="12" t="str">
        <f>HYPERLINK("https://www.boe.es/gazeta/dias/1807/05/15/pdfs/GMD-1807-42.pdf#page=9","Abrir facsímil")</f>
        <v>Abrir facsímil</v>
      </c>
      <c r="K4116" s="15" t="s">
        <v>22</v>
      </c>
    </row>
    <row r="4117" spans="1:11" ht="42" customHeight="1">
      <c r="A4117" s="4" t="s">
        <v>9565</v>
      </c>
      <c r="B4117" s="5" t="s">
        <v>9565</v>
      </c>
      <c r="C4117" s="5" t="s">
        <v>24</v>
      </c>
      <c r="D4117" s="5" t="s">
        <v>18</v>
      </c>
      <c r="E4117" s="5" t="s">
        <v>25</v>
      </c>
      <c r="F4117" s="9">
        <v>45</v>
      </c>
      <c r="G4117" s="9">
        <v>540</v>
      </c>
      <c r="H4117" s="5" t="s">
        <v>20</v>
      </c>
      <c r="I4117" s="5" t="s">
        <v>9567</v>
      </c>
      <c r="J4117" s="12" t="str">
        <f>HYPERLINK("https://www.boe.es/gazeta/dias/1807/05/26/pdfs/GMD-1807-45.pdf#page=10","Abrir facsímil")</f>
        <v>Abrir facsímil</v>
      </c>
      <c r="K4117" s="15" t="s">
        <v>22</v>
      </c>
    </row>
    <row r="4118" spans="1:11" ht="42" customHeight="1">
      <c r="A4118" s="4" t="s">
        <v>9565</v>
      </c>
      <c r="B4118" s="5" t="s">
        <v>9565</v>
      </c>
      <c r="C4118" s="5" t="s">
        <v>89</v>
      </c>
      <c r="D4118" s="5" t="s">
        <v>90</v>
      </c>
      <c r="E4118" s="5" t="s">
        <v>114</v>
      </c>
      <c r="F4118" s="9">
        <v>46</v>
      </c>
      <c r="G4118" s="9">
        <v>552</v>
      </c>
      <c r="H4118" s="5" t="s">
        <v>20</v>
      </c>
      <c r="I4118" s="5" t="s">
        <v>9568</v>
      </c>
      <c r="J4118" s="12" t="str">
        <f>HYPERLINK("https://www.boe.es/gazeta/dias/1807/05/29/pdfs/GMD-1807-46.pdf#page=10","Abrir facsímil")</f>
        <v>Abrir facsímil</v>
      </c>
      <c r="K4118" s="15" t="s">
        <v>22</v>
      </c>
    </row>
    <row r="4119" spans="1:11" ht="42" customHeight="1">
      <c r="A4119" s="4" t="s">
        <v>9565</v>
      </c>
      <c r="B4119" s="5" t="s">
        <v>9565</v>
      </c>
      <c r="C4119" s="5" t="s">
        <v>24</v>
      </c>
      <c r="D4119" s="5" t="s">
        <v>18</v>
      </c>
      <c r="E4119" s="5" t="s">
        <v>46</v>
      </c>
      <c r="F4119" s="9">
        <v>78</v>
      </c>
      <c r="G4119" s="9">
        <v>906</v>
      </c>
      <c r="H4119" s="5" t="s">
        <v>20</v>
      </c>
      <c r="I4119" s="5" t="s">
        <v>9569</v>
      </c>
      <c r="J4119" s="12" t="str">
        <f>HYPERLINK("https://www.boe.es/gazeta/dias/1807/09/01/pdfs/GMD-1807-78.pdf#page=10","Abrir facsímil")</f>
        <v>Abrir facsímil</v>
      </c>
      <c r="K4119" s="15" t="s">
        <v>22</v>
      </c>
    </row>
    <row r="4120" spans="1:11" ht="42" customHeight="1">
      <c r="A4120" s="4" t="s">
        <v>9570</v>
      </c>
      <c r="B4120" s="5" t="s">
        <v>9571</v>
      </c>
      <c r="C4120" s="5" t="s">
        <v>34</v>
      </c>
      <c r="D4120" s="5" t="s">
        <v>35</v>
      </c>
      <c r="E4120" s="5" t="s">
        <v>534</v>
      </c>
      <c r="F4120" s="9" t="s">
        <v>535</v>
      </c>
      <c r="G4120" s="9">
        <v>101</v>
      </c>
      <c r="H4120" s="5" t="s">
        <v>20</v>
      </c>
      <c r="I4120" s="5" t="s">
        <v>9572</v>
      </c>
      <c r="J4120" s="12" t="str">
        <f>HYPERLINK("https://www.boe.es/gazeta/dias/1807/01/24/pdfs/GMD-1807-9E.pdf#page=5","Abrir facsímil")</f>
        <v>Abrir facsímil</v>
      </c>
      <c r="K4120" s="15" t="s">
        <v>22</v>
      </c>
    </row>
    <row r="4121" spans="1:11" ht="42" customHeight="1">
      <c r="A4121" s="4" t="s">
        <v>9573</v>
      </c>
      <c r="B4121" s="5" t="s">
        <v>9573</v>
      </c>
      <c r="C4121" s="5" t="s">
        <v>49</v>
      </c>
      <c r="D4121" s="5" t="s">
        <v>50</v>
      </c>
      <c r="E4121" s="5" t="s">
        <v>25</v>
      </c>
      <c r="F4121" s="9">
        <v>45</v>
      </c>
      <c r="G4121" s="9">
        <v>534</v>
      </c>
      <c r="H4121" s="5" t="s">
        <v>20</v>
      </c>
      <c r="I4121" s="5" t="s">
        <v>9574</v>
      </c>
      <c r="J4121" s="12" t="str">
        <f>HYPERLINK("https://www.boe.es/gazeta/dias/1807/05/26/pdfs/GMD-1807-45.pdf#page=4","Abrir facsímil")</f>
        <v>Abrir facsímil</v>
      </c>
      <c r="K4121" s="15" t="s">
        <v>22</v>
      </c>
    </row>
    <row r="4122" spans="1:11" ht="42" customHeight="1">
      <c r="A4122" s="4" t="s">
        <v>9575</v>
      </c>
      <c r="B4122" s="5" t="s">
        <v>9576</v>
      </c>
      <c r="C4122" s="5" t="s">
        <v>34</v>
      </c>
      <c r="D4122" s="5" t="s">
        <v>35</v>
      </c>
      <c r="E4122" s="5" t="s">
        <v>109</v>
      </c>
      <c r="F4122" s="9">
        <v>58</v>
      </c>
      <c r="G4122" s="9">
        <v>688</v>
      </c>
      <c r="H4122" s="5" t="s">
        <v>20</v>
      </c>
      <c r="I4122" s="5" t="s">
        <v>9577</v>
      </c>
      <c r="J4122" s="12" t="str">
        <f>HYPERLINK("https://www.boe.es/gazeta/dias/1807/07/07/pdfs/GMD-1807-58.pdf#page=6","Abrir facsímil")</f>
        <v>Abrir facsímil</v>
      </c>
      <c r="K4122" s="15" t="s">
        <v>22</v>
      </c>
    </row>
    <row r="4123" spans="1:11" ht="42" customHeight="1">
      <c r="A4123" s="4" t="s">
        <v>9578</v>
      </c>
      <c r="B4123" s="5" t="s">
        <v>9579</v>
      </c>
      <c r="C4123" s="5" t="s">
        <v>34</v>
      </c>
      <c r="D4123" s="5" t="s">
        <v>35</v>
      </c>
      <c r="E4123" s="5" t="s">
        <v>131</v>
      </c>
      <c r="F4123" s="9">
        <v>28</v>
      </c>
      <c r="G4123" s="9">
        <v>334</v>
      </c>
      <c r="H4123" s="5" t="s">
        <v>20</v>
      </c>
      <c r="I4123" s="5" t="s">
        <v>9580</v>
      </c>
      <c r="J4123" s="12" t="str">
        <f>HYPERLINK("https://www.boe.es/gazeta/dias/1807/03/27/pdfs/GMD-1807-28.pdf#page=6","Abrir facsímil")</f>
        <v>Abrir facsímil</v>
      </c>
      <c r="K4123" s="15" t="s">
        <v>22</v>
      </c>
    </row>
    <row r="4124" spans="1:11" ht="42" customHeight="1">
      <c r="A4124" s="4" t="s">
        <v>9581</v>
      </c>
      <c r="B4124" s="5" t="s">
        <v>9582</v>
      </c>
      <c r="C4124" s="5" t="s">
        <v>34</v>
      </c>
      <c r="D4124" s="5" t="s">
        <v>35</v>
      </c>
      <c r="E4124" s="5" t="s">
        <v>376</v>
      </c>
      <c r="F4124" s="9">
        <v>19</v>
      </c>
      <c r="G4124" s="9">
        <v>225</v>
      </c>
      <c r="H4124" s="5" t="s">
        <v>20</v>
      </c>
      <c r="I4124" s="5" t="s">
        <v>9583</v>
      </c>
      <c r="J4124" s="12" t="str">
        <f>HYPERLINK("https://www.boe.es/gazeta/dias/1807/02/27/pdfs/GMD-1807-19.pdf#page=9","Abrir facsímil")</f>
        <v>Abrir facsímil</v>
      </c>
      <c r="K4124" s="15" t="s">
        <v>22</v>
      </c>
    </row>
    <row r="4125" spans="1:11" ht="42" customHeight="1">
      <c r="A4125" s="4" t="s">
        <v>9584</v>
      </c>
      <c r="B4125" s="5" t="s">
        <v>9585</v>
      </c>
      <c r="C4125" s="5" t="s">
        <v>34</v>
      </c>
      <c r="D4125" s="5" t="s">
        <v>35</v>
      </c>
      <c r="E4125" s="5" t="s">
        <v>1354</v>
      </c>
      <c r="F4125" s="9">
        <v>83</v>
      </c>
      <c r="G4125" s="9">
        <v>969</v>
      </c>
      <c r="H4125" s="5" t="s">
        <v>20</v>
      </c>
      <c r="I4125" s="5" t="s">
        <v>9586</v>
      </c>
      <c r="J4125" s="12" t="str">
        <f>HYPERLINK("https://www.boe.es/gazeta/dias/1807/09/18/pdfs/GMD-1807-83.pdf#page=9","Abrir facsímil")</f>
        <v>Abrir facsímil</v>
      </c>
      <c r="K4125" s="15" t="s">
        <v>22</v>
      </c>
    </row>
    <row r="4126" spans="1:11" ht="42" customHeight="1">
      <c r="A4126" s="4" t="s">
        <v>9587</v>
      </c>
      <c r="B4126" s="5" t="s">
        <v>9588</v>
      </c>
      <c r="C4126" s="5" t="s">
        <v>34</v>
      </c>
      <c r="D4126" s="5" t="s">
        <v>35</v>
      </c>
      <c r="E4126" s="5" t="s">
        <v>40</v>
      </c>
      <c r="F4126" s="9">
        <v>26</v>
      </c>
      <c r="G4126" s="9">
        <v>313</v>
      </c>
      <c r="H4126" s="5" t="s">
        <v>20</v>
      </c>
      <c r="I4126" s="5" t="s">
        <v>9589</v>
      </c>
      <c r="J4126" s="12" t="str">
        <f>HYPERLINK("https://www.boe.es/gazeta/dias/1807/03/20/pdfs/GMD-1807-26.pdf#page=9","Abrir facsímil")</f>
        <v>Abrir facsímil</v>
      </c>
      <c r="K4126" s="15" t="s">
        <v>22</v>
      </c>
    </row>
    <row r="4127" spans="1:11" ht="42" customHeight="1">
      <c r="A4127" s="4" t="s">
        <v>9590</v>
      </c>
      <c r="B4127" s="5" t="s">
        <v>9590</v>
      </c>
      <c r="C4127" s="5" t="s">
        <v>24</v>
      </c>
      <c r="D4127" s="5" t="s">
        <v>18</v>
      </c>
      <c r="E4127" s="5" t="s">
        <v>595</v>
      </c>
      <c r="F4127" s="9">
        <v>59</v>
      </c>
      <c r="G4127" s="9">
        <v>704</v>
      </c>
      <c r="H4127" s="5" t="s">
        <v>20</v>
      </c>
      <c r="I4127" s="5" t="s">
        <v>9591</v>
      </c>
      <c r="J4127" s="12" t="str">
        <f>HYPERLINK("https://www.boe.es/gazeta/dias/1807/07/10/pdfs/GMD-1807-59.pdf#page=10","Abrir facsímil")</f>
        <v>Abrir facsímil</v>
      </c>
      <c r="K4127" s="15" t="s">
        <v>22</v>
      </c>
    </row>
    <row r="4128" spans="1:11" ht="42" customHeight="1">
      <c r="A4128" s="4" t="s">
        <v>9592</v>
      </c>
      <c r="B4128" s="5" t="s">
        <v>9592</v>
      </c>
      <c r="C4128" s="5" t="s">
        <v>49</v>
      </c>
      <c r="D4128" s="5" t="s">
        <v>50</v>
      </c>
      <c r="E4128" s="5" t="s">
        <v>149</v>
      </c>
      <c r="F4128" s="9">
        <v>38</v>
      </c>
      <c r="G4128" s="9">
        <v>447</v>
      </c>
      <c r="H4128" s="5" t="s">
        <v>20</v>
      </c>
      <c r="I4128" s="5" t="s">
        <v>9593</v>
      </c>
      <c r="J4128" s="12" t="str">
        <f>HYPERLINK("https://www.boe.es/gazeta/dias/1807/05/01/pdfs/GMD-1807-38.pdf#page=3","Abrir facsímil")</f>
        <v>Abrir facsímil</v>
      </c>
      <c r="K4128" s="15" t="s">
        <v>22</v>
      </c>
    </row>
    <row r="4129" spans="1:11" ht="42" customHeight="1">
      <c r="A4129" s="4" t="s">
        <v>9594</v>
      </c>
      <c r="B4129" s="5" t="s">
        <v>9595</v>
      </c>
      <c r="C4129" s="5" t="s">
        <v>28</v>
      </c>
      <c r="D4129" s="5" t="s">
        <v>29</v>
      </c>
      <c r="E4129" s="5" t="s">
        <v>76</v>
      </c>
      <c r="F4129" s="9">
        <v>7</v>
      </c>
      <c r="G4129" s="9">
        <v>82</v>
      </c>
      <c r="H4129" s="5" t="s">
        <v>20</v>
      </c>
      <c r="I4129" s="5" t="s">
        <v>9596</v>
      </c>
      <c r="J4129" s="12" t="str">
        <f>HYPERLINK("https://www.boe.es/gazeta/dias/1807/01/20/pdfs/GMD-1807-7.pdf#page=14","Abrir facsímil")</f>
        <v>Abrir facsímil</v>
      </c>
      <c r="K4129" s="15" t="s">
        <v>22</v>
      </c>
    </row>
    <row r="4130" spans="1:11" ht="42" customHeight="1">
      <c r="A4130" s="4" t="s">
        <v>9597</v>
      </c>
      <c r="B4130" s="5" t="s">
        <v>9598</v>
      </c>
      <c r="C4130" s="5" t="s">
        <v>34</v>
      </c>
      <c r="D4130" s="5" t="s">
        <v>35</v>
      </c>
      <c r="E4130" s="5" t="s">
        <v>111</v>
      </c>
      <c r="F4130" s="9">
        <v>90</v>
      </c>
      <c r="G4130" s="9">
        <v>1044</v>
      </c>
      <c r="H4130" s="5" t="s">
        <v>20</v>
      </c>
      <c r="I4130" s="5" t="s">
        <v>9599</v>
      </c>
      <c r="J4130" s="12" t="str">
        <f>HYPERLINK("https://www.boe.es/gazeta/dias/1807/10/06/pdfs/GMD-1807-90.pdf#page=12","Abrir facsímil")</f>
        <v>Abrir facsímil</v>
      </c>
      <c r="K4130" s="15" t="s">
        <v>22</v>
      </c>
    </row>
    <row r="4131" spans="1:11" ht="42" customHeight="1">
      <c r="A4131" s="4" t="s">
        <v>9600</v>
      </c>
      <c r="B4131" s="5" t="s">
        <v>9601</v>
      </c>
      <c r="C4131" s="5" t="s">
        <v>49</v>
      </c>
      <c r="D4131" s="5" t="s">
        <v>50</v>
      </c>
      <c r="E4131" s="5" t="s">
        <v>86</v>
      </c>
      <c r="F4131" s="9">
        <v>12</v>
      </c>
      <c r="G4131" s="9">
        <v>133</v>
      </c>
      <c r="H4131" s="5" t="s">
        <v>20</v>
      </c>
      <c r="I4131" s="5" t="s">
        <v>9602</v>
      </c>
      <c r="J4131" s="12" t="str">
        <f>HYPERLINK("https://www.boe.es/gazeta/dias/1807/02/03/pdfs/GMD-1807-12.pdf#page=5","Abrir facsímil")</f>
        <v>Abrir facsímil</v>
      </c>
      <c r="K4131" s="15" t="s">
        <v>22</v>
      </c>
    </row>
    <row r="4132" spans="1:11" ht="42" customHeight="1">
      <c r="A4132" s="4" t="s">
        <v>9603</v>
      </c>
      <c r="B4132" s="5" t="s">
        <v>9604</v>
      </c>
      <c r="C4132" s="5" t="s">
        <v>34</v>
      </c>
      <c r="D4132" s="5" t="s">
        <v>35</v>
      </c>
      <c r="E4132" s="5" t="s">
        <v>321</v>
      </c>
      <c r="F4132" s="9">
        <v>75</v>
      </c>
      <c r="G4132" s="9">
        <v>867</v>
      </c>
      <c r="H4132" s="5" t="s">
        <v>20</v>
      </c>
      <c r="I4132" s="5" t="s">
        <v>9605</v>
      </c>
      <c r="J4132" s="12" t="str">
        <f>HYPERLINK("https://www.boe.es/gazeta/dias/1807/08/21/pdfs/GMD-1807-75.pdf#page=7","Abrir facsímil")</f>
        <v>Abrir facsímil</v>
      </c>
      <c r="K4132" s="15" t="s">
        <v>22</v>
      </c>
    </row>
    <row r="4133" spans="1:11" ht="42" customHeight="1">
      <c r="A4133" s="4" t="s">
        <v>9606</v>
      </c>
      <c r="B4133" s="5" t="s">
        <v>9607</v>
      </c>
      <c r="C4133" s="5" t="s">
        <v>28</v>
      </c>
      <c r="D4133" s="5" t="s">
        <v>29</v>
      </c>
      <c r="E4133" s="5" t="s">
        <v>346</v>
      </c>
      <c r="F4133" s="9">
        <v>21</v>
      </c>
      <c r="G4133" s="9">
        <v>245</v>
      </c>
      <c r="H4133" s="5" t="s">
        <v>20</v>
      </c>
      <c r="I4133" s="5" t="s">
        <v>9608</v>
      </c>
      <c r="J4133" s="12" t="str">
        <f>HYPERLINK("https://www.boe.es/gazeta/dias/1807/03/03/pdfs/GMD-1807-21.pdf#page=9","Abrir facsímil")</f>
        <v>Abrir facsímil</v>
      </c>
      <c r="K4133" s="15" t="s">
        <v>22</v>
      </c>
    </row>
    <row r="4134" spans="1:11" ht="42" customHeight="1">
      <c r="A4134" s="4" t="s">
        <v>9609</v>
      </c>
      <c r="B4134" s="5" t="s">
        <v>9610</v>
      </c>
      <c r="C4134" s="5" t="s">
        <v>17</v>
      </c>
      <c r="D4134" s="5" t="s">
        <v>18</v>
      </c>
      <c r="E4134" s="5" t="s">
        <v>418</v>
      </c>
      <c r="F4134" s="9">
        <v>4</v>
      </c>
      <c r="G4134" s="9">
        <v>40</v>
      </c>
      <c r="H4134" s="5" t="s">
        <v>20</v>
      </c>
      <c r="I4134" s="5" t="s">
        <v>9611</v>
      </c>
      <c r="J4134" s="12" t="str">
        <f>HYPERLINK("https://www.boe.es/gazeta/dias/1807/01/13/pdfs/GMD-1807-4.pdf#page=8","Abrir facsímil")</f>
        <v>Abrir facsímil</v>
      </c>
      <c r="K4134" s="15" t="s">
        <v>22</v>
      </c>
    </row>
    <row r="4135" spans="1:11" ht="42" customHeight="1">
      <c r="A4135" s="4" t="s">
        <v>9612</v>
      </c>
      <c r="B4135" s="5" t="s">
        <v>9613</v>
      </c>
      <c r="C4135" s="5" t="s">
        <v>24</v>
      </c>
      <c r="D4135" s="5" t="s">
        <v>18</v>
      </c>
      <c r="E4135" s="5" t="s">
        <v>390</v>
      </c>
      <c r="F4135" s="9">
        <v>24</v>
      </c>
      <c r="G4135" s="9">
        <v>290</v>
      </c>
      <c r="H4135" s="5" t="s">
        <v>20</v>
      </c>
      <c r="I4135" s="5" t="s">
        <v>9614</v>
      </c>
      <c r="J4135" s="12" t="str">
        <f>HYPERLINK("https://www.boe.es/gazeta/dias/1807/03/13/pdfs/GMD-1807-24.pdf#page=14","Abrir facsímil")</f>
        <v>Abrir facsímil</v>
      </c>
      <c r="K4135" s="15" t="s">
        <v>22</v>
      </c>
    </row>
    <row r="4136" spans="1:11" ht="42" customHeight="1">
      <c r="A4136" s="4" t="s">
        <v>9615</v>
      </c>
      <c r="B4136" s="5" t="s">
        <v>9616</v>
      </c>
      <c r="C4136" s="5" t="s">
        <v>17</v>
      </c>
      <c r="D4136" s="5" t="s">
        <v>18</v>
      </c>
      <c r="E4136" s="5" t="s">
        <v>42</v>
      </c>
      <c r="F4136" s="9">
        <v>31</v>
      </c>
      <c r="G4136" s="9">
        <v>369</v>
      </c>
      <c r="H4136" s="5" t="s">
        <v>20</v>
      </c>
      <c r="I4136" s="5" t="s">
        <v>9617</v>
      </c>
      <c r="J4136" s="12" t="str">
        <f>HYPERLINK("https://www.boe.es/gazeta/dias/1807/04/07/pdfs/GMD-1807-31.pdf#page=9","Abrir facsímil")</f>
        <v>Abrir facsímil</v>
      </c>
      <c r="K4136" s="15" t="s">
        <v>22</v>
      </c>
    </row>
    <row r="4137" spans="1:11" ht="42" customHeight="1">
      <c r="A4137" s="4" t="s">
        <v>9618</v>
      </c>
      <c r="B4137" s="5" t="s">
        <v>9619</v>
      </c>
      <c r="C4137" s="5" t="s">
        <v>89</v>
      </c>
      <c r="D4137" s="5" t="s">
        <v>90</v>
      </c>
      <c r="E4137" s="5" t="s">
        <v>111</v>
      </c>
      <c r="F4137" s="9">
        <v>90</v>
      </c>
      <c r="G4137" s="9">
        <v>1048</v>
      </c>
      <c r="H4137" s="5" t="s">
        <v>20</v>
      </c>
      <c r="I4137" s="5" t="s">
        <v>9620</v>
      </c>
      <c r="J4137" s="12" t="str">
        <f>HYPERLINK("https://www.boe.es/gazeta/dias/1807/10/06/pdfs/GMD-1807-90.pdf#page=16","Abrir facsímil")</f>
        <v>Abrir facsímil</v>
      </c>
      <c r="K4137" s="15" t="s">
        <v>22</v>
      </c>
    </row>
    <row r="4138" spans="1:11" ht="42" customHeight="1">
      <c r="A4138" s="4" t="s">
        <v>9621</v>
      </c>
      <c r="B4138" s="5" t="s">
        <v>9622</v>
      </c>
      <c r="C4138" s="5" t="s">
        <v>34</v>
      </c>
      <c r="D4138" s="5" t="s">
        <v>35</v>
      </c>
      <c r="E4138" s="5" t="s">
        <v>1456</v>
      </c>
      <c r="F4138" s="9">
        <v>98</v>
      </c>
      <c r="G4138" s="9">
        <v>1142</v>
      </c>
      <c r="H4138" s="5" t="s">
        <v>20</v>
      </c>
      <c r="I4138" s="5" t="s">
        <v>9623</v>
      </c>
      <c r="J4138" s="12" t="str">
        <f>HYPERLINK("https://www.boe.es/gazeta/dias/1807/11/03/pdfs/GMD-1807-98.pdf#page=10","Abrir facsímil")</f>
        <v>Abrir facsímil</v>
      </c>
      <c r="K4138" s="15" t="s">
        <v>22</v>
      </c>
    </row>
    <row r="4139" spans="1:11" ht="42" customHeight="1">
      <c r="A4139" s="4" t="s">
        <v>9624</v>
      </c>
      <c r="B4139" s="5" t="s">
        <v>9625</v>
      </c>
      <c r="C4139" s="5" t="s">
        <v>34</v>
      </c>
      <c r="D4139" s="5" t="s">
        <v>35</v>
      </c>
      <c r="E4139" s="5" t="s">
        <v>76</v>
      </c>
      <c r="F4139" s="9">
        <v>7</v>
      </c>
      <c r="G4139" s="9">
        <v>74</v>
      </c>
      <c r="H4139" s="5" t="s">
        <v>20</v>
      </c>
      <c r="I4139" s="5" t="s">
        <v>9626</v>
      </c>
      <c r="J4139" s="12" t="str">
        <f>HYPERLINK("https://www.boe.es/gazeta/dias/1807/01/20/pdfs/GMD-1807-7.pdf#page=6","Abrir facsímil")</f>
        <v>Abrir facsímil</v>
      </c>
      <c r="K4139" s="15" t="s">
        <v>22</v>
      </c>
    </row>
    <row r="4140" spans="1:11" ht="42" customHeight="1">
      <c r="A4140" s="4" t="s">
        <v>9627</v>
      </c>
      <c r="B4140" s="5" t="s">
        <v>9628</v>
      </c>
      <c r="C4140" s="5" t="s">
        <v>49</v>
      </c>
      <c r="D4140" s="5" t="s">
        <v>50</v>
      </c>
      <c r="E4140" s="5" t="s">
        <v>1934</v>
      </c>
      <c r="F4140" s="9">
        <v>2</v>
      </c>
      <c r="G4140" s="9">
        <v>15</v>
      </c>
      <c r="H4140" s="5" t="s">
        <v>20</v>
      </c>
      <c r="I4140" s="5" t="s">
        <v>9629</v>
      </c>
      <c r="J4140" s="12" t="str">
        <f>HYPERLINK("https://www.boe.es/gazeta/dias/1807/01/06/pdfs/GMD-1807-2.pdf#page=3","Abrir facsímil")</f>
        <v>Abrir facsímil</v>
      </c>
      <c r="K4140" s="15" t="s">
        <v>22</v>
      </c>
    </row>
    <row r="4141" spans="1:11" ht="42" customHeight="1">
      <c r="A4141" s="4" t="s">
        <v>9630</v>
      </c>
      <c r="B4141" s="5" t="s">
        <v>9631</v>
      </c>
      <c r="C4141" s="5" t="s">
        <v>49</v>
      </c>
      <c r="D4141" s="5" t="s">
        <v>50</v>
      </c>
      <c r="E4141" s="5" t="s">
        <v>1934</v>
      </c>
      <c r="F4141" s="9">
        <v>2</v>
      </c>
      <c r="G4141" s="9">
        <v>13</v>
      </c>
      <c r="H4141" s="5" t="s">
        <v>20</v>
      </c>
      <c r="I4141" s="5" t="s">
        <v>9632</v>
      </c>
      <c r="J4141" s="12" t="str">
        <f>HYPERLINK("https://www.boe.es/gazeta/dias/1807/01/06/pdfs/GMD-1807-2.pdf#page=1","Abrir facsímil")</f>
        <v>Abrir facsímil</v>
      </c>
      <c r="K4141" s="15" t="s">
        <v>22</v>
      </c>
    </row>
    <row r="4142" spans="1:11" ht="42" customHeight="1">
      <c r="A4142" s="4" t="s">
        <v>9633</v>
      </c>
      <c r="B4142" s="5" t="s">
        <v>9633</v>
      </c>
      <c r="C4142" s="5" t="s">
        <v>28</v>
      </c>
      <c r="D4142" s="5" t="s">
        <v>29</v>
      </c>
      <c r="E4142" s="5" t="s">
        <v>40</v>
      </c>
      <c r="F4142" s="9">
        <v>26</v>
      </c>
      <c r="G4142" s="9">
        <v>310</v>
      </c>
      <c r="H4142" s="5" t="s">
        <v>20</v>
      </c>
      <c r="I4142" s="5" t="s">
        <v>9634</v>
      </c>
      <c r="J4142" s="12" t="str">
        <f>HYPERLINK("https://www.boe.es/gazeta/dias/1807/03/20/pdfs/GMD-1807-26.pdf#page=6","Abrir facsímil")</f>
        <v>Abrir facsímil</v>
      </c>
      <c r="K4142" s="15" t="s">
        <v>22</v>
      </c>
    </row>
    <row r="4143" spans="1:11" ht="42" customHeight="1">
      <c r="A4143" s="4" t="s">
        <v>9635</v>
      </c>
      <c r="B4143" s="5" t="s">
        <v>9636</v>
      </c>
      <c r="C4143" s="5" t="s">
        <v>49</v>
      </c>
      <c r="D4143" s="5" t="s">
        <v>50</v>
      </c>
      <c r="E4143" s="5" t="s">
        <v>572</v>
      </c>
      <c r="F4143" s="9">
        <v>14</v>
      </c>
      <c r="G4143" s="9">
        <v>154</v>
      </c>
      <c r="H4143" s="5" t="s">
        <v>20</v>
      </c>
      <c r="I4143" s="5" t="s">
        <v>9637</v>
      </c>
      <c r="J4143" s="12" t="str">
        <f>HYPERLINK("https://www.boe.es/gazeta/dias/1807/02/10/pdfs/GMD-1807-14.pdf#page=2","Abrir facsímil")</f>
        <v>Abrir facsímil</v>
      </c>
      <c r="K4143" s="15" t="s">
        <v>22</v>
      </c>
    </row>
    <row r="4144" spans="1:11" ht="42" customHeight="1">
      <c r="A4144" s="4" t="s">
        <v>9638</v>
      </c>
      <c r="B4144" s="5" t="s">
        <v>9639</v>
      </c>
      <c r="C4144" s="5" t="s">
        <v>34</v>
      </c>
      <c r="D4144" s="5" t="s">
        <v>35</v>
      </c>
      <c r="E4144" s="5" t="s">
        <v>319</v>
      </c>
      <c r="F4144" s="9">
        <v>54</v>
      </c>
      <c r="G4144" s="9">
        <v>645</v>
      </c>
      <c r="H4144" s="5" t="s">
        <v>20</v>
      </c>
      <c r="I4144" s="5" t="s">
        <v>9640</v>
      </c>
      <c r="J4144" s="12" t="str">
        <f>HYPERLINK("https://www.boe.es/gazeta/dias/1807/06/26/pdfs/GMD-1807-54.pdf#page=7","Abrir facsímil")</f>
        <v>Abrir facsímil</v>
      </c>
      <c r="K4144" s="15" t="s">
        <v>22</v>
      </c>
    </row>
    <row r="4145" spans="1:11" ht="42" customHeight="1">
      <c r="A4145" s="4" t="s">
        <v>9641</v>
      </c>
      <c r="B4145" s="5" t="s">
        <v>9642</v>
      </c>
      <c r="C4145" s="5" t="s">
        <v>28</v>
      </c>
      <c r="D4145" s="5" t="s">
        <v>29</v>
      </c>
      <c r="E4145" s="5" t="s">
        <v>46</v>
      </c>
      <c r="F4145" s="9">
        <v>78</v>
      </c>
      <c r="G4145" s="9">
        <v>907</v>
      </c>
      <c r="H4145" s="5" t="s">
        <v>20</v>
      </c>
      <c r="I4145" s="5" t="s">
        <v>9643</v>
      </c>
      <c r="J4145" s="12" t="str">
        <f>HYPERLINK("https://www.boe.es/gazeta/dias/1807/09/01/pdfs/GMD-1807-78.pdf#page=11","Abrir facsímil")</f>
        <v>Abrir facsímil</v>
      </c>
      <c r="K4145" s="15" t="s">
        <v>22</v>
      </c>
    </row>
    <row r="4146" spans="1:11" ht="42" customHeight="1">
      <c r="A4146" s="4" t="s">
        <v>9644</v>
      </c>
      <c r="B4146" s="5" t="s">
        <v>9645</v>
      </c>
      <c r="C4146" s="5" t="s">
        <v>34</v>
      </c>
      <c r="D4146" s="5" t="s">
        <v>35</v>
      </c>
      <c r="E4146" s="5" t="s">
        <v>686</v>
      </c>
      <c r="F4146" s="9">
        <v>106</v>
      </c>
      <c r="G4146" s="9">
        <v>1238</v>
      </c>
      <c r="H4146" s="5" t="s">
        <v>20</v>
      </c>
      <c r="I4146" s="5" t="s">
        <v>9646</v>
      </c>
      <c r="J4146" s="12" t="str">
        <f>HYPERLINK("https://www.boe.es/gazeta/dias/1807/11/27/pdfs/GMD-1807-106.pdf#page=10","Abrir facsímil")</f>
        <v>Abrir facsímil</v>
      </c>
      <c r="K4146" s="15" t="s">
        <v>22</v>
      </c>
    </row>
    <row r="4147" spans="1:11" ht="42" customHeight="1">
      <c r="A4147" s="4" t="s">
        <v>9647</v>
      </c>
      <c r="B4147" s="5" t="s">
        <v>9648</v>
      </c>
      <c r="C4147" s="5" t="s">
        <v>28</v>
      </c>
      <c r="D4147" s="5" t="s">
        <v>29</v>
      </c>
      <c r="E4147" s="5" t="s">
        <v>346</v>
      </c>
      <c r="F4147" s="9">
        <v>21</v>
      </c>
      <c r="G4147" s="9">
        <v>246</v>
      </c>
      <c r="H4147" s="5" t="s">
        <v>20</v>
      </c>
      <c r="I4147" s="5" t="s">
        <v>9649</v>
      </c>
      <c r="J4147" s="12" t="str">
        <f>HYPERLINK("https://www.boe.es/gazeta/dias/1807/03/03/pdfs/GMD-1807-21.pdf#page=10","Abrir facsímil")</f>
        <v>Abrir facsímil</v>
      </c>
      <c r="K4147" s="15" t="s">
        <v>22</v>
      </c>
    </row>
    <row r="4148" spans="1:11" ht="42" customHeight="1">
      <c r="A4148" s="4" t="s">
        <v>9650</v>
      </c>
      <c r="B4148" s="5" t="s">
        <v>9651</v>
      </c>
      <c r="C4148" s="5" t="s">
        <v>24</v>
      </c>
      <c r="D4148" s="5" t="s">
        <v>18</v>
      </c>
      <c r="E4148" s="5" t="s">
        <v>106</v>
      </c>
      <c r="F4148" s="9">
        <v>39</v>
      </c>
      <c r="G4148" s="9">
        <v>469</v>
      </c>
      <c r="H4148" s="5" t="s">
        <v>20</v>
      </c>
      <c r="I4148" s="5" t="s">
        <v>9652</v>
      </c>
      <c r="J4148" s="12" t="str">
        <f>HYPERLINK("https://www.boe.es/gazeta/dias/1807/05/05/pdfs/GMD-1807-39.pdf#page=11","Abrir facsímil")</f>
        <v>Abrir facsímil</v>
      </c>
      <c r="K4148" s="15" t="s">
        <v>22</v>
      </c>
    </row>
    <row r="4149" spans="1:11" ht="42" customHeight="1">
      <c r="A4149" s="4" t="s">
        <v>9653</v>
      </c>
      <c r="B4149" s="5" t="s">
        <v>9654</v>
      </c>
      <c r="C4149" s="5" t="s">
        <v>89</v>
      </c>
      <c r="D4149" s="5" t="s">
        <v>90</v>
      </c>
      <c r="E4149" s="5" t="s">
        <v>561</v>
      </c>
      <c r="F4149" s="9">
        <v>44</v>
      </c>
      <c r="G4149" s="9">
        <v>530</v>
      </c>
      <c r="H4149" s="5" t="s">
        <v>20</v>
      </c>
      <c r="I4149" s="5" t="s">
        <v>9655</v>
      </c>
      <c r="J4149" s="12" t="str">
        <f>HYPERLINK("https://www.boe.es/gazeta/dias/1807/05/22/pdfs/GMD-1807-44.pdf#page=12","Abrir facsímil")</f>
        <v>Abrir facsímil</v>
      </c>
      <c r="K4149" s="15" t="s">
        <v>22</v>
      </c>
    </row>
    <row r="4150" spans="1:11" ht="42" customHeight="1">
      <c r="A4150" s="4" t="s">
        <v>9656</v>
      </c>
      <c r="B4150" s="5" t="s">
        <v>9657</v>
      </c>
      <c r="C4150" s="5" t="s">
        <v>34</v>
      </c>
      <c r="D4150" s="5" t="s">
        <v>35</v>
      </c>
      <c r="E4150" s="5" t="s">
        <v>1456</v>
      </c>
      <c r="F4150" s="9">
        <v>98</v>
      </c>
      <c r="G4150" s="9">
        <v>1142</v>
      </c>
      <c r="H4150" s="5" t="s">
        <v>20</v>
      </c>
      <c r="I4150" s="5" t="s">
        <v>9658</v>
      </c>
      <c r="J4150" s="12" t="str">
        <f>HYPERLINK("https://www.boe.es/gazeta/dias/1807/11/03/pdfs/GMD-1807-98.pdf#page=10","Abrir facsímil")</f>
        <v>Abrir facsímil</v>
      </c>
      <c r="K4150" s="15" t="s">
        <v>22</v>
      </c>
    </row>
    <row r="4151" spans="1:11" ht="42" customHeight="1">
      <c r="A4151" s="4" t="s">
        <v>9659</v>
      </c>
      <c r="B4151" s="5" t="s">
        <v>9660</v>
      </c>
      <c r="C4151" s="5" t="s">
        <v>28</v>
      </c>
      <c r="D4151" s="5" t="s">
        <v>29</v>
      </c>
      <c r="E4151" s="5" t="s">
        <v>505</v>
      </c>
      <c r="F4151" s="9">
        <v>47</v>
      </c>
      <c r="G4151" s="9">
        <v>561</v>
      </c>
      <c r="H4151" s="5" t="s">
        <v>20</v>
      </c>
      <c r="I4151" s="5" t="s">
        <v>9661</v>
      </c>
      <c r="J4151" s="12" t="str">
        <f>HYPERLINK("https://www.boe.es/gazeta/dias/1807/06/02/pdfs/GMD-1807-47.pdf#page=7","Abrir facsímil")</f>
        <v>Abrir facsímil</v>
      </c>
      <c r="K4151" s="15" t="s">
        <v>22</v>
      </c>
    </row>
    <row r="4152" spans="1:11" ht="42" customHeight="1">
      <c r="A4152" s="4" t="s">
        <v>9662</v>
      </c>
      <c r="B4152" s="5" t="s">
        <v>9663</v>
      </c>
      <c r="C4152" s="5" t="s">
        <v>34</v>
      </c>
      <c r="D4152" s="5" t="s">
        <v>35</v>
      </c>
      <c r="E4152" s="5" t="s">
        <v>19</v>
      </c>
      <c r="F4152" s="9">
        <v>41</v>
      </c>
      <c r="G4152" s="9">
        <v>489</v>
      </c>
      <c r="H4152" s="5" t="s">
        <v>20</v>
      </c>
      <c r="I4152" s="5" t="s">
        <v>9664</v>
      </c>
      <c r="J4152" s="12" t="str">
        <f>HYPERLINK("https://www.boe.es/gazeta/dias/1807/05/12/pdfs/GMD-1807-41.pdf#page=7","Abrir facsímil")</f>
        <v>Abrir facsímil</v>
      </c>
      <c r="K4152" s="15" t="s">
        <v>22</v>
      </c>
    </row>
    <row r="4153" spans="1:11" ht="42" customHeight="1">
      <c r="A4153" s="4" t="s">
        <v>9665</v>
      </c>
      <c r="B4153" s="5" t="s">
        <v>9666</v>
      </c>
      <c r="C4153" s="5" t="s">
        <v>28</v>
      </c>
      <c r="D4153" s="5" t="s">
        <v>29</v>
      </c>
      <c r="E4153" s="5" t="s">
        <v>149</v>
      </c>
      <c r="F4153" s="9">
        <v>38</v>
      </c>
      <c r="G4153" s="9">
        <v>454</v>
      </c>
      <c r="H4153" s="5" t="s">
        <v>20</v>
      </c>
      <c r="I4153" s="5" t="s">
        <v>9667</v>
      </c>
      <c r="J4153" s="12" t="str">
        <f>HYPERLINK("https://www.boe.es/gazeta/dias/1807/05/01/pdfs/GMD-1807-38.pdf#page=10","Abrir facsímil")</f>
        <v>Abrir facsímil</v>
      </c>
      <c r="K4153" s="15" t="s">
        <v>22</v>
      </c>
    </row>
    <row r="4154" spans="1:11" ht="42" customHeight="1">
      <c r="A4154" s="4" t="s">
        <v>9668</v>
      </c>
      <c r="B4154" s="5" t="s">
        <v>9669</v>
      </c>
      <c r="C4154" s="5" t="s">
        <v>28</v>
      </c>
      <c r="D4154" s="5" t="s">
        <v>29</v>
      </c>
      <c r="E4154" s="5" t="s">
        <v>390</v>
      </c>
      <c r="F4154" s="9">
        <v>24</v>
      </c>
      <c r="G4154" s="9">
        <v>287</v>
      </c>
      <c r="H4154" s="5" t="s">
        <v>20</v>
      </c>
      <c r="I4154" s="5" t="s">
        <v>9670</v>
      </c>
      <c r="J4154" s="12" t="str">
        <f>HYPERLINK("https://www.boe.es/gazeta/dias/1807/03/13/pdfs/GMD-1807-24.pdf#page=11","Abrir facsímil")</f>
        <v>Abrir facsímil</v>
      </c>
      <c r="K4154" s="15" t="s">
        <v>22</v>
      </c>
    </row>
    <row r="4155" spans="1:11" ht="42" customHeight="1">
      <c r="A4155" s="4" t="s">
        <v>9671</v>
      </c>
      <c r="B4155" s="5" t="s">
        <v>9671</v>
      </c>
      <c r="C4155" s="5" t="s">
        <v>28</v>
      </c>
      <c r="D4155" s="5" t="s">
        <v>29</v>
      </c>
      <c r="E4155" s="5" t="s">
        <v>422</v>
      </c>
      <c r="F4155" s="9">
        <v>33</v>
      </c>
      <c r="G4155" s="9">
        <v>394</v>
      </c>
      <c r="H4155" s="5" t="s">
        <v>20</v>
      </c>
      <c r="I4155" s="5" t="s">
        <v>9672</v>
      </c>
      <c r="J4155" s="12" t="str">
        <f>HYPERLINK("https://www.boe.es/gazeta/dias/1807/04/14/pdfs/GMD-1807-33.pdf#page=10","Abrir facsímil")</f>
        <v>Abrir facsímil</v>
      </c>
      <c r="K4155" s="15" t="s">
        <v>22</v>
      </c>
    </row>
    <row r="4156" spans="1:11" ht="42" customHeight="1">
      <c r="A4156" s="4" t="s">
        <v>9673</v>
      </c>
      <c r="B4156" s="5" t="s">
        <v>9673</v>
      </c>
      <c r="C4156" s="5" t="s">
        <v>28</v>
      </c>
      <c r="D4156" s="5" t="s">
        <v>29</v>
      </c>
      <c r="E4156" s="5" t="s">
        <v>176</v>
      </c>
      <c r="F4156" s="9">
        <v>17</v>
      </c>
      <c r="G4156" s="9">
        <v>199</v>
      </c>
      <c r="H4156" s="5" t="s">
        <v>20</v>
      </c>
      <c r="I4156" s="5" t="s">
        <v>9674</v>
      </c>
      <c r="J4156" s="12" t="str">
        <f>HYPERLINK("https://www.boe.es/gazeta/dias/1807/02/20/pdfs/GMD-1807-17.pdf#page=11","Abrir facsímil")</f>
        <v>Abrir facsímil</v>
      </c>
      <c r="K4156" s="15" t="s">
        <v>22</v>
      </c>
    </row>
    <row r="4157" spans="1:11" ht="42" customHeight="1">
      <c r="A4157" s="4" t="s">
        <v>9675</v>
      </c>
      <c r="B4157" s="5" t="s">
        <v>9676</v>
      </c>
      <c r="C4157" s="5" t="s">
        <v>34</v>
      </c>
      <c r="D4157" s="5" t="s">
        <v>35</v>
      </c>
      <c r="E4157" s="5" t="s">
        <v>42</v>
      </c>
      <c r="F4157" s="9">
        <v>31</v>
      </c>
      <c r="G4157" s="9">
        <v>368</v>
      </c>
      <c r="H4157" s="5" t="s">
        <v>20</v>
      </c>
      <c r="I4157" s="5" t="s">
        <v>9677</v>
      </c>
      <c r="J4157" s="12" t="str">
        <f>HYPERLINK("https://www.boe.es/gazeta/dias/1807/04/07/pdfs/GMD-1807-31.pdf#page=8","Abrir facsímil")</f>
        <v>Abrir facsímil</v>
      </c>
      <c r="K4157" s="15" t="s">
        <v>22</v>
      </c>
    </row>
    <row r="4158" spans="1:11" ht="42" customHeight="1">
      <c r="A4158" s="4" t="s">
        <v>9678</v>
      </c>
      <c r="B4158" s="5" t="s">
        <v>9679</v>
      </c>
      <c r="C4158" s="5" t="s">
        <v>34</v>
      </c>
      <c r="D4158" s="5" t="s">
        <v>35</v>
      </c>
      <c r="E4158" s="5" t="s">
        <v>350</v>
      </c>
      <c r="F4158" s="9">
        <v>112</v>
      </c>
      <c r="G4158" s="9">
        <v>1311</v>
      </c>
      <c r="H4158" s="5" t="s">
        <v>20</v>
      </c>
      <c r="I4158" s="5" t="s">
        <v>9680</v>
      </c>
      <c r="J4158" s="12" t="str">
        <f>HYPERLINK("https://www.boe.es/gazeta/dias/1807/12/18/pdfs/GMD-1807-112.pdf#page=11","Abrir facsímil")</f>
        <v>Abrir facsímil</v>
      </c>
      <c r="K4158" s="15" t="s">
        <v>22</v>
      </c>
    </row>
    <row r="4159" spans="1:11" ht="42" customHeight="1">
      <c r="A4159" s="4" t="s">
        <v>9681</v>
      </c>
      <c r="B4159" s="5" t="s">
        <v>9682</v>
      </c>
      <c r="C4159" s="5" t="s">
        <v>34</v>
      </c>
      <c r="D4159" s="5" t="s">
        <v>35</v>
      </c>
      <c r="E4159" s="5" t="s">
        <v>319</v>
      </c>
      <c r="F4159" s="9">
        <v>54</v>
      </c>
      <c r="G4159" s="9">
        <v>645</v>
      </c>
      <c r="H4159" s="5" t="s">
        <v>20</v>
      </c>
      <c r="I4159" s="5" t="s">
        <v>9683</v>
      </c>
      <c r="J4159" s="12" t="str">
        <f>HYPERLINK("https://www.boe.es/gazeta/dias/1807/06/26/pdfs/GMD-1807-54.pdf#page=7","Abrir facsímil")</f>
        <v>Abrir facsímil</v>
      </c>
      <c r="K4159" s="15" t="s">
        <v>22</v>
      </c>
    </row>
    <row r="4160" spans="1:11" ht="42" customHeight="1">
      <c r="A4160" s="4" t="s">
        <v>9684</v>
      </c>
      <c r="B4160" s="5" t="s">
        <v>9685</v>
      </c>
      <c r="C4160" s="5" t="s">
        <v>34</v>
      </c>
      <c r="D4160" s="5" t="s">
        <v>35</v>
      </c>
      <c r="E4160" s="5" t="s">
        <v>319</v>
      </c>
      <c r="F4160" s="9">
        <v>54</v>
      </c>
      <c r="G4160" s="9">
        <v>645</v>
      </c>
      <c r="H4160" s="5" t="s">
        <v>20</v>
      </c>
      <c r="I4160" s="5" t="s">
        <v>9686</v>
      </c>
      <c r="J4160" s="12" t="str">
        <f>HYPERLINK("https://www.boe.es/gazeta/dias/1807/06/26/pdfs/GMD-1807-54.pdf#page=7","Abrir facsímil")</f>
        <v>Abrir facsímil</v>
      </c>
      <c r="K4160" s="15" t="s">
        <v>22</v>
      </c>
    </row>
    <row r="4161" spans="1:11" ht="42" customHeight="1">
      <c r="A4161" s="4" t="s">
        <v>9687</v>
      </c>
      <c r="B4161" s="5" t="s">
        <v>9688</v>
      </c>
      <c r="C4161" s="5" t="s">
        <v>34</v>
      </c>
      <c r="D4161" s="5" t="s">
        <v>35</v>
      </c>
      <c r="E4161" s="5" t="s">
        <v>40</v>
      </c>
      <c r="F4161" s="9">
        <v>26</v>
      </c>
      <c r="G4161" s="9">
        <v>313</v>
      </c>
      <c r="H4161" s="5" t="s">
        <v>20</v>
      </c>
      <c r="I4161" s="5" t="s">
        <v>9689</v>
      </c>
      <c r="J4161" s="12" t="str">
        <f>HYPERLINK("https://www.boe.es/gazeta/dias/1807/03/20/pdfs/GMD-1807-26.pdf#page=9","Abrir facsímil")</f>
        <v>Abrir facsímil</v>
      </c>
      <c r="K4161" s="15" t="s">
        <v>22</v>
      </c>
    </row>
    <row r="4162" spans="1:11" ht="42" customHeight="1">
      <c r="A4162" s="4" t="s">
        <v>9690</v>
      </c>
      <c r="B4162" s="5" t="s">
        <v>9690</v>
      </c>
      <c r="C4162" s="5" t="s">
        <v>89</v>
      </c>
      <c r="D4162" s="5" t="s">
        <v>90</v>
      </c>
      <c r="E4162" s="5" t="s">
        <v>111</v>
      </c>
      <c r="F4162" s="9">
        <v>90</v>
      </c>
      <c r="G4162" s="9">
        <v>1048</v>
      </c>
      <c r="H4162" s="5" t="s">
        <v>20</v>
      </c>
      <c r="I4162" s="5" t="s">
        <v>9691</v>
      </c>
      <c r="J4162" s="12" t="str">
        <f>HYPERLINK("https://www.boe.es/gazeta/dias/1807/10/06/pdfs/GMD-1807-90.pdf#page=16","Abrir facsímil")</f>
        <v>Abrir facsímil</v>
      </c>
      <c r="K4162" s="15" t="s">
        <v>22</v>
      </c>
    </row>
    <row r="4163" spans="1:11" ht="42" customHeight="1">
      <c r="A4163" s="4" t="s">
        <v>9692</v>
      </c>
      <c r="B4163" s="5" t="s">
        <v>9693</v>
      </c>
      <c r="C4163" s="5" t="s">
        <v>49</v>
      </c>
      <c r="D4163" s="5" t="s">
        <v>50</v>
      </c>
      <c r="E4163" s="5" t="s">
        <v>384</v>
      </c>
      <c r="F4163" s="9">
        <v>111</v>
      </c>
      <c r="G4163" s="9">
        <v>1294</v>
      </c>
      <c r="H4163" s="5" t="s">
        <v>20</v>
      </c>
      <c r="I4163" s="5" t="s">
        <v>9694</v>
      </c>
      <c r="J4163" s="12" t="str">
        <f>HYPERLINK("https://www.boe.es/gazeta/dias/1807/12/15/pdfs/GMD-1807-111.pdf#page=6","Abrir facsímil")</f>
        <v>Abrir facsímil</v>
      </c>
      <c r="K4163" s="15" t="s">
        <v>22</v>
      </c>
    </row>
    <row r="4164" spans="1:11" ht="42" customHeight="1">
      <c r="A4164" s="4" t="s">
        <v>9695</v>
      </c>
      <c r="B4164" s="5" t="s">
        <v>9696</v>
      </c>
      <c r="C4164" s="5" t="s">
        <v>49</v>
      </c>
      <c r="D4164" s="5" t="s">
        <v>50</v>
      </c>
      <c r="E4164" s="5" t="s">
        <v>79</v>
      </c>
      <c r="F4164" s="9">
        <v>11</v>
      </c>
      <c r="G4164" s="9">
        <v>123</v>
      </c>
      <c r="H4164" s="5" t="s">
        <v>20</v>
      </c>
      <c r="I4164" s="5" t="s">
        <v>9697</v>
      </c>
      <c r="J4164" s="12" t="str">
        <f>HYPERLINK("https://www.boe.es/gazeta/dias/1807/01/30/pdfs/GMD-1807-11.pdf#page=7","Abrir facsímil")</f>
        <v>Abrir facsímil</v>
      </c>
      <c r="K4164" s="15" t="s">
        <v>22</v>
      </c>
    </row>
    <row r="4165" spans="1:11" ht="42" customHeight="1">
      <c r="A4165" s="4" t="s">
        <v>9698</v>
      </c>
      <c r="B4165" s="5" t="s">
        <v>9699</v>
      </c>
      <c r="C4165" s="5" t="s">
        <v>252</v>
      </c>
      <c r="D4165" s="5" t="s">
        <v>253</v>
      </c>
      <c r="E4165" s="5" t="s">
        <v>534</v>
      </c>
      <c r="F4165" s="9" t="s">
        <v>535</v>
      </c>
      <c r="G4165" s="9">
        <v>99</v>
      </c>
      <c r="H4165" s="5" t="s">
        <v>20</v>
      </c>
      <c r="I4165" s="5" t="s">
        <v>9700</v>
      </c>
      <c r="J4165" s="12" t="str">
        <f>HYPERLINK("https://www.boe.es/gazeta/dias/1807/01/24/pdfs/GMD-1807-9E.pdf#page=3","Abrir facsímil")</f>
        <v>Abrir facsímil</v>
      </c>
      <c r="K4165" s="15" t="s">
        <v>22</v>
      </c>
    </row>
    <row r="4166" spans="1:11" ht="42" customHeight="1">
      <c r="A4166" s="4" t="s">
        <v>9701</v>
      </c>
      <c r="B4166" s="5" t="s">
        <v>9702</v>
      </c>
      <c r="C4166" s="5" t="s">
        <v>49</v>
      </c>
      <c r="D4166" s="5" t="s">
        <v>50</v>
      </c>
      <c r="E4166" s="5" t="s">
        <v>393</v>
      </c>
      <c r="F4166" s="9">
        <v>15</v>
      </c>
      <c r="G4166" s="9">
        <v>166</v>
      </c>
      <c r="H4166" s="5" t="s">
        <v>20</v>
      </c>
      <c r="I4166" s="5" t="s">
        <v>9703</v>
      </c>
      <c r="J4166" s="12" t="str">
        <f>HYPERLINK("https://www.boe.es/gazeta/dias/1807/02/13/pdfs/GMD-1807-15.pdf#page=2","Abrir facsímil")</f>
        <v>Abrir facsímil</v>
      </c>
      <c r="K4166" s="15" t="s">
        <v>22</v>
      </c>
    </row>
    <row r="4167" spans="1:11" ht="42" customHeight="1">
      <c r="A4167" s="4" t="s">
        <v>9704</v>
      </c>
      <c r="B4167" s="5" t="s">
        <v>9705</v>
      </c>
      <c r="C4167" s="5" t="s">
        <v>34</v>
      </c>
      <c r="D4167" s="5" t="s">
        <v>35</v>
      </c>
      <c r="E4167" s="5" t="s">
        <v>149</v>
      </c>
      <c r="F4167" s="9">
        <v>38</v>
      </c>
      <c r="G4167" s="9">
        <v>453</v>
      </c>
      <c r="H4167" s="5" t="s">
        <v>20</v>
      </c>
      <c r="I4167" s="5" t="s">
        <v>9706</v>
      </c>
      <c r="J4167" s="12" t="str">
        <f>HYPERLINK("https://www.boe.es/gazeta/dias/1807/05/01/pdfs/GMD-1807-38.pdf#page=9","Abrir facsímil")</f>
        <v>Abrir facsímil</v>
      </c>
      <c r="K4167" s="15" t="s">
        <v>22</v>
      </c>
    </row>
    <row r="4168" spans="1:11" ht="42" customHeight="1">
      <c r="A4168" s="4" t="s">
        <v>9704</v>
      </c>
      <c r="B4168" s="5" t="s">
        <v>9705</v>
      </c>
      <c r="C4168" s="5" t="s">
        <v>34</v>
      </c>
      <c r="D4168" s="5" t="s">
        <v>35</v>
      </c>
      <c r="E4168" s="5" t="s">
        <v>114</v>
      </c>
      <c r="F4168" s="9">
        <v>46</v>
      </c>
      <c r="G4168" s="9">
        <v>553</v>
      </c>
      <c r="H4168" s="5" t="s">
        <v>20</v>
      </c>
      <c r="I4168" s="5" t="s">
        <v>9707</v>
      </c>
      <c r="J4168" s="12" t="str">
        <f>HYPERLINK("https://www.boe.es/gazeta/dias/1807/05/29/pdfs/GMD-1807-46.pdf#page=11","Abrir facsímil")</f>
        <v>Abrir facsímil</v>
      </c>
      <c r="K4168" s="15" t="s">
        <v>22</v>
      </c>
    </row>
    <row r="4169" spans="1:11" ht="42" customHeight="1">
      <c r="A4169" s="4" t="s">
        <v>9704</v>
      </c>
      <c r="B4169" s="5" t="s">
        <v>9705</v>
      </c>
      <c r="C4169" s="5" t="s">
        <v>34</v>
      </c>
      <c r="D4169" s="5" t="s">
        <v>35</v>
      </c>
      <c r="E4169" s="5" t="s">
        <v>219</v>
      </c>
      <c r="F4169" s="9">
        <v>56</v>
      </c>
      <c r="G4169" s="9">
        <v>672</v>
      </c>
      <c r="H4169" s="5" t="s">
        <v>20</v>
      </c>
      <c r="I4169" s="5" t="s">
        <v>9708</v>
      </c>
      <c r="J4169" s="12" t="str">
        <f>HYPERLINK("https://www.boe.es/gazeta/dias/1807/07/03/pdfs/GMD-1807-56.pdf#page=10","Abrir facsímil")</f>
        <v>Abrir facsímil</v>
      </c>
      <c r="K4169" s="15" t="s">
        <v>22</v>
      </c>
    </row>
    <row r="4170" spans="1:11" ht="42" customHeight="1">
      <c r="A4170" s="4" t="s">
        <v>9704</v>
      </c>
      <c r="B4170" s="5" t="s">
        <v>9705</v>
      </c>
      <c r="C4170" s="5" t="s">
        <v>34</v>
      </c>
      <c r="D4170" s="5" t="s">
        <v>35</v>
      </c>
      <c r="E4170" s="5" t="s">
        <v>406</v>
      </c>
      <c r="F4170" s="9">
        <v>82</v>
      </c>
      <c r="G4170" s="9">
        <v>958</v>
      </c>
      <c r="H4170" s="5" t="s">
        <v>20</v>
      </c>
      <c r="I4170" s="5" t="s">
        <v>9709</v>
      </c>
      <c r="J4170" s="12" t="str">
        <f>HYPERLINK("https://www.boe.es/gazeta/dias/1807/09/15/pdfs/GMD-1807-82.pdf#page=10","Abrir facsímil")</f>
        <v>Abrir facsímil</v>
      </c>
      <c r="K4170" s="15" t="s">
        <v>22</v>
      </c>
    </row>
    <row r="4171" spans="1:11" ht="42" customHeight="1">
      <c r="A4171" s="4" t="s">
        <v>9704</v>
      </c>
      <c r="B4171" s="5" t="s">
        <v>9705</v>
      </c>
      <c r="C4171" s="5" t="s">
        <v>24</v>
      </c>
      <c r="D4171" s="5" t="s">
        <v>18</v>
      </c>
      <c r="E4171" s="5" t="s">
        <v>929</v>
      </c>
      <c r="F4171" s="9">
        <v>85</v>
      </c>
      <c r="G4171" s="9">
        <v>994</v>
      </c>
      <c r="H4171" s="5" t="s">
        <v>20</v>
      </c>
      <c r="I4171" s="5" t="s">
        <v>9710</v>
      </c>
      <c r="J4171" s="12" t="str">
        <f>HYPERLINK("https://www.boe.es/gazeta/dias/1807/09/25/pdfs/GMD-1807-85.pdf#page=10","Abrir facsímil")</f>
        <v>Abrir facsímil</v>
      </c>
      <c r="K4171" s="15" t="s">
        <v>22</v>
      </c>
    </row>
    <row r="4172" spans="1:11" ht="42" customHeight="1">
      <c r="A4172" s="4" t="s">
        <v>9704</v>
      </c>
      <c r="B4172" s="5" t="s">
        <v>9705</v>
      </c>
      <c r="C4172" s="5" t="s">
        <v>34</v>
      </c>
      <c r="D4172" s="5" t="s">
        <v>35</v>
      </c>
      <c r="E4172" s="5" t="s">
        <v>301</v>
      </c>
      <c r="F4172" s="9">
        <v>89</v>
      </c>
      <c r="G4172" s="9">
        <v>1031</v>
      </c>
      <c r="H4172" s="5" t="s">
        <v>20</v>
      </c>
      <c r="I4172" s="5" t="s">
        <v>9711</v>
      </c>
      <c r="J4172" s="12" t="str">
        <f>HYPERLINK("https://www.boe.es/gazeta/dias/1807/10/02/pdfs/GMD-1807-89.pdf#page=11","Abrir facsímil")</f>
        <v>Abrir facsímil</v>
      </c>
      <c r="K4172" s="15" t="s">
        <v>22</v>
      </c>
    </row>
    <row r="4173" spans="1:11" ht="42" customHeight="1">
      <c r="A4173" s="4" t="s">
        <v>9704</v>
      </c>
      <c r="B4173" s="5" t="s">
        <v>9705</v>
      </c>
      <c r="C4173" s="5" t="s">
        <v>34</v>
      </c>
      <c r="D4173" s="5" t="s">
        <v>35</v>
      </c>
      <c r="E4173" s="5" t="s">
        <v>179</v>
      </c>
      <c r="F4173" s="9">
        <v>100</v>
      </c>
      <c r="G4173" s="9">
        <v>1165</v>
      </c>
      <c r="H4173" s="5" t="s">
        <v>20</v>
      </c>
      <c r="I4173" s="5" t="s">
        <v>9712</v>
      </c>
      <c r="J4173" s="12" t="str">
        <f>HYPERLINK("https://www.boe.es/gazeta/dias/1807/11/10/pdfs/GMD-1807-100.pdf#page=9","Abrir facsímil")</f>
        <v>Abrir facsímil</v>
      </c>
      <c r="K4173" s="15" t="s">
        <v>22</v>
      </c>
    </row>
    <row r="4174" spans="1:11" ht="42" customHeight="1">
      <c r="A4174" s="4" t="s">
        <v>9704</v>
      </c>
      <c r="B4174" s="5" t="s">
        <v>9705</v>
      </c>
      <c r="C4174" s="5" t="s">
        <v>34</v>
      </c>
      <c r="D4174" s="5" t="s">
        <v>35</v>
      </c>
      <c r="E4174" s="5" t="s">
        <v>1177</v>
      </c>
      <c r="F4174" s="9">
        <v>101</v>
      </c>
      <c r="G4174" s="9">
        <v>1179</v>
      </c>
      <c r="H4174" s="5" t="s">
        <v>20</v>
      </c>
      <c r="I4174" s="5" t="s">
        <v>9713</v>
      </c>
      <c r="J4174" s="12" t="str">
        <f>HYPERLINK("https://www.boe.es/gazeta/dias/1807/11/13/pdfs/GMD-1807-101.pdf#page=11","Abrir facsímil")</f>
        <v>Abrir facsímil</v>
      </c>
      <c r="K4174" s="15" t="s">
        <v>22</v>
      </c>
    </row>
    <row r="4175" spans="1:11" ht="42" customHeight="1">
      <c r="A4175" s="4" t="s">
        <v>9704</v>
      </c>
      <c r="B4175" s="5" t="s">
        <v>9705</v>
      </c>
      <c r="C4175" s="5" t="s">
        <v>34</v>
      </c>
      <c r="D4175" s="5" t="s">
        <v>35</v>
      </c>
      <c r="E4175" s="5" t="s">
        <v>327</v>
      </c>
      <c r="F4175" s="9">
        <v>108</v>
      </c>
      <c r="G4175" s="9">
        <v>1262</v>
      </c>
      <c r="H4175" s="5" t="s">
        <v>20</v>
      </c>
      <c r="I4175" s="5" t="s">
        <v>9714</v>
      </c>
      <c r="J4175" s="12" t="str">
        <f>HYPERLINK("https://www.boe.es/gazeta/dias/1807/12/04/pdfs/GMD-1807-108.pdf#page=10","Abrir facsímil")</f>
        <v>Abrir facsímil</v>
      </c>
      <c r="K4175" s="15" t="s">
        <v>22</v>
      </c>
    </row>
    <row r="4176" spans="1:11" ht="42" customHeight="1">
      <c r="A4176" s="4" t="s">
        <v>9715</v>
      </c>
      <c r="B4176" s="5" t="s">
        <v>9715</v>
      </c>
      <c r="C4176" s="5" t="s">
        <v>34</v>
      </c>
      <c r="D4176" s="5" t="s">
        <v>35</v>
      </c>
      <c r="E4176" s="5" t="s">
        <v>666</v>
      </c>
      <c r="F4176" s="9">
        <v>43</v>
      </c>
      <c r="G4176" s="9">
        <v>515</v>
      </c>
      <c r="H4176" s="5" t="s">
        <v>20</v>
      </c>
      <c r="I4176" s="5" t="s">
        <v>9716</v>
      </c>
      <c r="J4176" s="12" t="str">
        <f>HYPERLINK("https://www.boe.es/gazeta/dias/1807/05/19/pdfs/GMD-1807-43.pdf#page=9","Abrir facsímil")</f>
        <v>Abrir facsímil</v>
      </c>
      <c r="K4176" s="15" t="s">
        <v>22</v>
      </c>
    </row>
    <row r="4177" spans="1:11" ht="42" customHeight="1">
      <c r="A4177" s="4" t="s">
        <v>9717</v>
      </c>
      <c r="B4177" s="5" t="s">
        <v>9717</v>
      </c>
      <c r="C4177" s="5" t="s">
        <v>17</v>
      </c>
      <c r="D4177" s="5" t="s">
        <v>18</v>
      </c>
      <c r="E4177" s="5" t="s">
        <v>86</v>
      </c>
      <c r="F4177" s="9">
        <v>12</v>
      </c>
      <c r="G4177" s="9">
        <v>140</v>
      </c>
      <c r="H4177" s="5" t="s">
        <v>20</v>
      </c>
      <c r="I4177" s="5" t="s">
        <v>9718</v>
      </c>
      <c r="J4177" s="12" t="str">
        <f>HYPERLINK("https://www.boe.es/gazeta/dias/1807/02/03/pdfs/GMD-1807-12.pdf#page=12","Abrir facsímil")</f>
        <v>Abrir facsímil</v>
      </c>
      <c r="K4177" s="15" t="s">
        <v>22</v>
      </c>
    </row>
    <row r="4178" spans="1:11" ht="42" customHeight="1">
      <c r="A4178" s="4" t="s">
        <v>9719</v>
      </c>
      <c r="B4178" s="5" t="s">
        <v>9720</v>
      </c>
      <c r="C4178" s="5" t="s">
        <v>89</v>
      </c>
      <c r="D4178" s="5" t="s">
        <v>90</v>
      </c>
      <c r="E4178" s="5" t="s">
        <v>301</v>
      </c>
      <c r="F4178" s="9">
        <v>89</v>
      </c>
      <c r="G4178" s="9">
        <v>1032</v>
      </c>
      <c r="H4178" s="5" t="s">
        <v>20</v>
      </c>
      <c r="I4178" s="5" t="s">
        <v>9721</v>
      </c>
      <c r="J4178" s="12" t="str">
        <f>HYPERLINK("https://www.boe.es/gazeta/dias/1807/10/02/pdfs/GMD-1807-89.pdf#page=12","Abrir facsímil")</f>
        <v>Abrir facsímil</v>
      </c>
      <c r="K4178" s="15" t="s">
        <v>22</v>
      </c>
    </row>
    <row r="4179" spans="1:11" ht="42" customHeight="1">
      <c r="A4179" s="4" t="s">
        <v>9722</v>
      </c>
      <c r="B4179" s="5" t="s">
        <v>9722</v>
      </c>
      <c r="C4179" s="5" t="s">
        <v>49</v>
      </c>
      <c r="D4179" s="5" t="s">
        <v>50</v>
      </c>
      <c r="E4179" s="5" t="s">
        <v>447</v>
      </c>
      <c r="F4179" s="9">
        <v>65</v>
      </c>
      <c r="G4179" s="9">
        <v>755</v>
      </c>
      <c r="H4179" s="5" t="s">
        <v>20</v>
      </c>
      <c r="I4179" s="5" t="s">
        <v>9723</v>
      </c>
      <c r="J4179" s="12" t="str">
        <f>HYPERLINK("https://www.boe.es/gazeta/dias/1807/07/24/pdfs/GMD-1807-65.pdf#page=5","Abrir facsímil")</f>
        <v>Abrir facsímil</v>
      </c>
      <c r="K4179" s="15" t="s">
        <v>22</v>
      </c>
    </row>
    <row r="4180" spans="1:11" ht="42" customHeight="1">
      <c r="A4180" s="4" t="s">
        <v>9724</v>
      </c>
      <c r="B4180" s="5" t="s">
        <v>9725</v>
      </c>
      <c r="C4180" s="5" t="s">
        <v>49</v>
      </c>
      <c r="D4180" s="5" t="s">
        <v>50</v>
      </c>
      <c r="E4180" s="5" t="s">
        <v>296</v>
      </c>
      <c r="F4180" s="9">
        <v>102</v>
      </c>
      <c r="G4180" s="9">
        <v>1183</v>
      </c>
      <c r="H4180" s="5" t="s">
        <v>20</v>
      </c>
      <c r="I4180" s="5" t="s">
        <v>9726</v>
      </c>
      <c r="J4180" s="12" t="str">
        <f>HYPERLINK("https://www.boe.es/gazeta/dias/1807/11/17/pdfs/GMD-1807-102.pdf#page=3","Abrir facsímil")</f>
        <v>Abrir facsímil</v>
      </c>
      <c r="K4180" s="15" t="s">
        <v>22</v>
      </c>
    </row>
    <row r="4181" spans="1:11" ht="42" customHeight="1">
      <c r="A4181" s="4" t="s">
        <v>9727</v>
      </c>
      <c r="B4181" s="5" t="s">
        <v>9728</v>
      </c>
      <c r="C4181" s="5" t="s">
        <v>49</v>
      </c>
      <c r="D4181" s="5" t="s">
        <v>50</v>
      </c>
      <c r="E4181" s="5" t="s">
        <v>418</v>
      </c>
      <c r="F4181" s="9">
        <v>4</v>
      </c>
      <c r="G4181" s="9">
        <v>34</v>
      </c>
      <c r="H4181" s="5" t="s">
        <v>20</v>
      </c>
      <c r="I4181" s="5" t="s">
        <v>9729</v>
      </c>
      <c r="J4181" s="12" t="str">
        <f>HYPERLINK("https://www.boe.es/gazeta/dias/1807/01/13/pdfs/GMD-1807-4.pdf#page=2","Abrir facsímil")</f>
        <v>Abrir facsímil</v>
      </c>
      <c r="K4181" s="15" t="s">
        <v>22</v>
      </c>
    </row>
    <row r="4182" spans="1:11" ht="42" customHeight="1">
      <c r="A4182" s="4" t="s">
        <v>9730</v>
      </c>
      <c r="B4182" s="5" t="s">
        <v>9731</v>
      </c>
      <c r="C4182" s="5" t="s">
        <v>49</v>
      </c>
      <c r="D4182" s="5" t="s">
        <v>50</v>
      </c>
      <c r="E4182" s="5" t="s">
        <v>418</v>
      </c>
      <c r="F4182" s="9">
        <v>4</v>
      </c>
      <c r="G4182" s="9">
        <v>35</v>
      </c>
      <c r="H4182" s="5" t="s">
        <v>20</v>
      </c>
      <c r="I4182" s="5" t="s">
        <v>9732</v>
      </c>
      <c r="J4182" s="12" t="str">
        <f>HYPERLINK("https://www.boe.es/gazeta/dias/1807/01/13/pdfs/GMD-1807-4.pdf#page=3","Abrir facsímil")</f>
        <v>Abrir facsímil</v>
      </c>
      <c r="K4182" s="15" t="s">
        <v>22</v>
      </c>
    </row>
    <row r="4183" spans="1:11" ht="42" customHeight="1">
      <c r="A4183" s="4" t="s">
        <v>9730</v>
      </c>
      <c r="B4183" s="5" t="s">
        <v>9731</v>
      </c>
      <c r="C4183" s="5" t="s">
        <v>49</v>
      </c>
      <c r="D4183" s="5" t="s">
        <v>50</v>
      </c>
      <c r="E4183" s="5" t="s">
        <v>270</v>
      </c>
      <c r="F4183" s="9">
        <v>8</v>
      </c>
      <c r="G4183" s="9">
        <v>89</v>
      </c>
      <c r="H4183" s="5" t="s">
        <v>20</v>
      </c>
      <c r="I4183" s="5" t="s">
        <v>9733</v>
      </c>
      <c r="J4183" s="12" t="str">
        <f>HYPERLINK("https://www.boe.es/gazeta/dias/1807/01/23/pdfs/GMD-1807-8.pdf#page=5","Abrir facsímil")</f>
        <v>Abrir facsímil</v>
      </c>
      <c r="K4183" s="15" t="s">
        <v>22</v>
      </c>
    </row>
    <row r="4184" spans="1:11" ht="42" customHeight="1">
      <c r="A4184" s="4" t="s">
        <v>9730</v>
      </c>
      <c r="B4184" s="5" t="s">
        <v>9731</v>
      </c>
      <c r="C4184" s="5" t="s">
        <v>89</v>
      </c>
      <c r="D4184" s="5" t="s">
        <v>90</v>
      </c>
      <c r="E4184" s="5" t="s">
        <v>1962</v>
      </c>
      <c r="F4184" s="9" t="s">
        <v>1963</v>
      </c>
      <c r="G4184" s="9">
        <v>764</v>
      </c>
      <c r="H4184" s="5" t="s">
        <v>20</v>
      </c>
      <c r="I4184" s="5" t="s">
        <v>9734</v>
      </c>
      <c r="J4184" s="12" t="str">
        <f>HYPERLINK("https://www.boe.es/gazeta/dias/1807/07/26/pdfs/GMD-1807-66E.pdf#page=2","Abrir facsímil")</f>
        <v>Abrir facsímil</v>
      </c>
      <c r="K4184" s="15" t="s">
        <v>22</v>
      </c>
    </row>
    <row r="4185" spans="1:11" ht="42" customHeight="1">
      <c r="A4185" s="4" t="s">
        <v>9735</v>
      </c>
      <c r="B4185" s="5" t="s">
        <v>9736</v>
      </c>
      <c r="C4185" s="5" t="s">
        <v>49</v>
      </c>
      <c r="D4185" s="5" t="s">
        <v>50</v>
      </c>
      <c r="E4185" s="5" t="s">
        <v>111</v>
      </c>
      <c r="F4185" s="9">
        <v>90</v>
      </c>
      <c r="G4185" s="9">
        <v>1035</v>
      </c>
      <c r="H4185" s="5" t="s">
        <v>20</v>
      </c>
      <c r="I4185" s="5" t="s">
        <v>9737</v>
      </c>
      <c r="J4185" s="12" t="str">
        <f>HYPERLINK("https://www.boe.es/gazeta/dias/1807/10/06/pdfs/GMD-1807-90.pdf#page=3","Abrir facsímil")</f>
        <v>Abrir facsímil</v>
      </c>
      <c r="K4185" s="15" t="s">
        <v>22</v>
      </c>
    </row>
    <row r="4186" spans="1:11" ht="42" customHeight="1">
      <c r="A4186" s="4" t="s">
        <v>9738</v>
      </c>
      <c r="B4186" s="5" t="s">
        <v>9739</v>
      </c>
      <c r="C4186" s="5" t="s">
        <v>49</v>
      </c>
      <c r="D4186" s="5" t="s">
        <v>50</v>
      </c>
      <c r="E4186" s="5" t="s">
        <v>1354</v>
      </c>
      <c r="F4186" s="9">
        <v>83</v>
      </c>
      <c r="G4186" s="9">
        <v>966</v>
      </c>
      <c r="H4186" s="5" t="s">
        <v>20</v>
      </c>
      <c r="I4186" s="5" t="s">
        <v>9740</v>
      </c>
      <c r="J4186" s="12" t="str">
        <f>HYPERLINK("https://www.boe.es/gazeta/dias/1807/09/18/pdfs/GMD-1807-83.pdf#page=6","Abrir facsímil")</f>
        <v>Abrir facsímil</v>
      </c>
      <c r="K4186" s="15" t="s">
        <v>22</v>
      </c>
    </row>
    <row r="4187" spans="1:11" ht="42" customHeight="1">
      <c r="A4187" s="4" t="s">
        <v>9741</v>
      </c>
      <c r="B4187" s="5" t="s">
        <v>9742</v>
      </c>
      <c r="C4187" s="5" t="s">
        <v>49</v>
      </c>
      <c r="D4187" s="5" t="s">
        <v>50</v>
      </c>
      <c r="E4187" s="5" t="s">
        <v>461</v>
      </c>
      <c r="F4187" s="9">
        <v>99</v>
      </c>
      <c r="G4187" s="9">
        <v>1146</v>
      </c>
      <c r="H4187" s="5" t="s">
        <v>20</v>
      </c>
      <c r="I4187" s="5" t="s">
        <v>9743</v>
      </c>
      <c r="J4187" s="12" t="str">
        <f>HYPERLINK("https://www.boe.es/gazeta/dias/1807/11/06/pdfs/GMD-1807-99.pdf#page=2","Abrir facsímil")</f>
        <v>Abrir facsímil</v>
      </c>
      <c r="K4187" s="15" t="s">
        <v>22</v>
      </c>
    </row>
    <row r="4188" spans="1:11" ht="42" customHeight="1">
      <c r="A4188" s="4" t="s">
        <v>9741</v>
      </c>
      <c r="B4188" s="5" t="s">
        <v>9742</v>
      </c>
      <c r="C4188" s="5" t="s">
        <v>49</v>
      </c>
      <c r="D4188" s="5" t="s">
        <v>50</v>
      </c>
      <c r="E4188" s="5" t="s">
        <v>296</v>
      </c>
      <c r="F4188" s="9">
        <v>102</v>
      </c>
      <c r="G4188" s="9">
        <v>1182</v>
      </c>
      <c r="H4188" s="5" t="s">
        <v>20</v>
      </c>
      <c r="I4188" s="5" t="s">
        <v>9744</v>
      </c>
      <c r="J4188" s="12" t="str">
        <f>HYPERLINK("https://www.boe.es/gazeta/dias/1807/11/17/pdfs/GMD-1807-102.pdf#page=2","Abrir facsímil")</f>
        <v>Abrir facsímil</v>
      </c>
      <c r="K4188" s="15" t="s">
        <v>22</v>
      </c>
    </row>
    <row r="4189" spans="1:11" ht="42" customHeight="1">
      <c r="A4189" s="4" t="s">
        <v>9741</v>
      </c>
      <c r="B4189" s="5" t="s">
        <v>9742</v>
      </c>
      <c r="C4189" s="5" t="s">
        <v>34</v>
      </c>
      <c r="D4189" s="5" t="s">
        <v>35</v>
      </c>
      <c r="E4189" s="5" t="s">
        <v>275</v>
      </c>
      <c r="F4189" s="9">
        <v>104</v>
      </c>
      <c r="G4189" s="9">
        <v>1207</v>
      </c>
      <c r="H4189" s="5" t="s">
        <v>20</v>
      </c>
      <c r="I4189" s="5" t="s">
        <v>9745</v>
      </c>
      <c r="J4189" s="12" t="str">
        <f>HYPERLINK("https://www.boe.es/gazeta/dias/1807/11/24/pdfs/GMD-1807-104.pdf#page=3","Abrir facsímil")</f>
        <v>Abrir facsímil</v>
      </c>
      <c r="K4189" s="15" t="s">
        <v>22</v>
      </c>
    </row>
    <row r="4190" spans="1:11" ht="42" customHeight="1">
      <c r="A4190" s="4" t="s">
        <v>9741</v>
      </c>
      <c r="B4190" s="5" t="s">
        <v>9742</v>
      </c>
      <c r="C4190" s="5" t="s">
        <v>49</v>
      </c>
      <c r="D4190" s="5" t="s">
        <v>50</v>
      </c>
      <c r="E4190" s="5" t="s">
        <v>686</v>
      </c>
      <c r="F4190" s="9">
        <v>106</v>
      </c>
      <c r="G4190" s="9">
        <v>1231</v>
      </c>
      <c r="H4190" s="5" t="s">
        <v>20</v>
      </c>
      <c r="I4190" s="5" t="s">
        <v>9746</v>
      </c>
      <c r="J4190" s="12" t="str">
        <f>HYPERLINK("https://www.boe.es/gazeta/dias/1807/11/27/pdfs/GMD-1807-106.pdf#page=3","Abrir facsímil")</f>
        <v>Abrir facsímil</v>
      </c>
      <c r="K4190" s="15" t="s">
        <v>22</v>
      </c>
    </row>
    <row r="4191" spans="1:11" ht="42" customHeight="1">
      <c r="A4191" s="4" t="s">
        <v>9741</v>
      </c>
      <c r="B4191" s="5" t="s">
        <v>9742</v>
      </c>
      <c r="C4191" s="5" t="s">
        <v>49</v>
      </c>
      <c r="D4191" s="5" t="s">
        <v>50</v>
      </c>
      <c r="E4191" s="5" t="s">
        <v>309</v>
      </c>
      <c r="F4191" s="9">
        <v>107</v>
      </c>
      <c r="G4191" s="9">
        <v>1243</v>
      </c>
      <c r="H4191" s="5" t="s">
        <v>20</v>
      </c>
      <c r="I4191" s="5" t="s">
        <v>9747</v>
      </c>
      <c r="J4191" s="12" t="str">
        <f>HYPERLINK("https://www.boe.es/gazeta/dias/1807/12/01/pdfs/GMD-1807-107.pdf#page=3","Abrir facsímil")</f>
        <v>Abrir facsímil</v>
      </c>
      <c r="K4191" s="15" t="s">
        <v>22</v>
      </c>
    </row>
    <row r="4192" spans="1:11" ht="42" customHeight="1">
      <c r="A4192" s="4" t="s">
        <v>9741</v>
      </c>
      <c r="B4192" s="5" t="s">
        <v>9742</v>
      </c>
      <c r="C4192" s="5" t="s">
        <v>28</v>
      </c>
      <c r="D4192" s="5" t="s">
        <v>29</v>
      </c>
      <c r="E4192" s="5" t="s">
        <v>327</v>
      </c>
      <c r="F4192" s="9">
        <v>108</v>
      </c>
      <c r="G4192" s="9">
        <v>1254</v>
      </c>
      <c r="H4192" s="5" t="s">
        <v>20</v>
      </c>
      <c r="I4192" s="5" t="s">
        <v>9748</v>
      </c>
      <c r="J4192" s="12" t="str">
        <f>HYPERLINK("https://www.boe.es/gazeta/dias/1807/12/04/pdfs/GMD-1807-108.pdf#page=2","Abrir facsímil")</f>
        <v>Abrir facsímil</v>
      </c>
      <c r="K4192" s="15" t="s">
        <v>22</v>
      </c>
    </row>
    <row r="4193" spans="1:11" ht="42" customHeight="1">
      <c r="A4193" s="4" t="s">
        <v>9741</v>
      </c>
      <c r="B4193" s="5" t="s">
        <v>9742</v>
      </c>
      <c r="C4193" s="5" t="s">
        <v>34</v>
      </c>
      <c r="D4193" s="5" t="s">
        <v>35</v>
      </c>
      <c r="E4193" s="5" t="s">
        <v>1340</v>
      </c>
      <c r="F4193" s="9">
        <v>114</v>
      </c>
      <c r="G4193" s="9">
        <v>1330</v>
      </c>
      <c r="H4193" s="5" t="s">
        <v>20</v>
      </c>
      <c r="I4193" s="5" t="s">
        <v>9749</v>
      </c>
      <c r="J4193" s="12" t="str">
        <f>HYPERLINK("https://www.boe.es/gazeta/dias/1807/12/25/pdfs/GMD-1807-114.pdf#page=6","Abrir facsímil")</f>
        <v>Abrir facsímil</v>
      </c>
      <c r="K4193" s="15" t="s">
        <v>22</v>
      </c>
    </row>
    <row r="4194" spans="1:11" ht="42" customHeight="1">
      <c r="A4194" s="4" t="s">
        <v>9750</v>
      </c>
      <c r="B4194" s="5" t="s">
        <v>9751</v>
      </c>
      <c r="C4194" s="5" t="s">
        <v>17</v>
      </c>
      <c r="D4194" s="5" t="s">
        <v>18</v>
      </c>
      <c r="E4194" s="5" t="s">
        <v>426</v>
      </c>
      <c r="F4194" s="9">
        <v>93</v>
      </c>
      <c r="G4194" s="9">
        <v>1074</v>
      </c>
      <c r="H4194" s="5" t="s">
        <v>20</v>
      </c>
      <c r="I4194" s="5" t="s">
        <v>9752</v>
      </c>
      <c r="J4194" s="12" t="str">
        <f>HYPERLINK("https://www.boe.es/gazeta/dias/1807/10/16/pdfs/GMD-1807-93.pdf#page=2","Abrir facsímil")</f>
        <v>Abrir facsímil</v>
      </c>
      <c r="K4194" s="15" t="s">
        <v>22</v>
      </c>
    </row>
    <row r="4195" spans="1:11" ht="42" customHeight="1">
      <c r="A4195" s="4" t="s">
        <v>9753</v>
      </c>
      <c r="B4195" s="5" t="s">
        <v>9754</v>
      </c>
      <c r="C4195" s="5" t="s">
        <v>17</v>
      </c>
      <c r="D4195" s="5" t="s">
        <v>18</v>
      </c>
      <c r="E4195" s="5" t="s">
        <v>426</v>
      </c>
      <c r="F4195" s="9">
        <v>93</v>
      </c>
      <c r="G4195" s="9">
        <v>1074</v>
      </c>
      <c r="H4195" s="5" t="s">
        <v>20</v>
      </c>
      <c r="I4195" s="5" t="s">
        <v>9755</v>
      </c>
      <c r="J4195" s="12" t="str">
        <f>HYPERLINK("https://www.boe.es/gazeta/dias/1807/10/16/pdfs/GMD-1807-93.pdf#page=2","Abrir facsímil")</f>
        <v>Abrir facsímil</v>
      </c>
      <c r="K4195" s="15" t="s">
        <v>22</v>
      </c>
    </row>
    <row r="4196" spans="1:11" ht="42" customHeight="1">
      <c r="A4196" s="4" t="s">
        <v>9756</v>
      </c>
      <c r="B4196" s="5" t="s">
        <v>9757</v>
      </c>
      <c r="C4196" s="5" t="s">
        <v>24</v>
      </c>
      <c r="D4196" s="5" t="s">
        <v>18</v>
      </c>
      <c r="E4196" s="5" t="s">
        <v>561</v>
      </c>
      <c r="F4196" s="9">
        <v>44</v>
      </c>
      <c r="G4196" s="9">
        <v>530</v>
      </c>
      <c r="H4196" s="5" t="s">
        <v>20</v>
      </c>
      <c r="I4196" s="5" t="s">
        <v>9758</v>
      </c>
      <c r="J4196" s="12" t="str">
        <f>HYPERLINK("https://www.boe.es/gazeta/dias/1807/05/22/pdfs/GMD-1807-44.pdf#page=12","Abrir facsímil")</f>
        <v>Abrir facsímil</v>
      </c>
      <c r="K4196" s="15" t="s">
        <v>22</v>
      </c>
    </row>
    <row r="4197" spans="1:11" ht="42" customHeight="1">
      <c r="A4197" s="4" t="s">
        <v>9759</v>
      </c>
      <c r="B4197" s="5" t="s">
        <v>9760</v>
      </c>
      <c r="C4197" s="5" t="s">
        <v>89</v>
      </c>
      <c r="D4197" s="5" t="s">
        <v>90</v>
      </c>
      <c r="E4197" s="5" t="s">
        <v>505</v>
      </c>
      <c r="F4197" s="9">
        <v>47</v>
      </c>
      <c r="G4197" s="9">
        <v>562</v>
      </c>
      <c r="H4197" s="5" t="s">
        <v>20</v>
      </c>
      <c r="I4197" s="5" t="s">
        <v>9761</v>
      </c>
      <c r="J4197" s="12" t="str">
        <f>HYPERLINK("https://www.boe.es/gazeta/dias/1807/06/02/pdfs/GMD-1807-47.pdf#page=8","Abrir facsímil")</f>
        <v>Abrir facsímil</v>
      </c>
      <c r="K4197" s="15" t="s">
        <v>22</v>
      </c>
    </row>
    <row r="4198" spans="1:11" ht="42" customHeight="1">
      <c r="A4198" s="4" t="s">
        <v>9759</v>
      </c>
      <c r="B4198" s="5" t="s">
        <v>9760</v>
      </c>
      <c r="C4198" s="5" t="s">
        <v>34</v>
      </c>
      <c r="D4198" s="5" t="s">
        <v>35</v>
      </c>
      <c r="E4198" s="5" t="s">
        <v>793</v>
      </c>
      <c r="F4198" s="9">
        <v>87</v>
      </c>
      <c r="G4198" s="9">
        <v>1009</v>
      </c>
      <c r="H4198" s="5" t="s">
        <v>20</v>
      </c>
      <c r="I4198" s="5" t="s">
        <v>9762</v>
      </c>
      <c r="J4198" s="12" t="str">
        <f>HYPERLINK("https://www.boe.es/gazeta/dias/1807/09/29/pdfs/GMD-1807-87.pdf#page=9","Abrir facsímil")</f>
        <v>Abrir facsímil</v>
      </c>
      <c r="K4198" s="15" t="s">
        <v>22</v>
      </c>
    </row>
    <row r="4199" spans="1:11" ht="42" customHeight="1">
      <c r="A4199" s="4" t="s">
        <v>9763</v>
      </c>
      <c r="B4199" s="5" t="s">
        <v>9764</v>
      </c>
      <c r="C4199" s="5" t="s">
        <v>28</v>
      </c>
      <c r="D4199" s="5" t="s">
        <v>29</v>
      </c>
      <c r="E4199" s="5" t="s">
        <v>98</v>
      </c>
      <c r="F4199" s="9">
        <v>34</v>
      </c>
      <c r="G4199" s="9">
        <v>404</v>
      </c>
      <c r="H4199" s="5" t="s">
        <v>20</v>
      </c>
      <c r="I4199" s="5" t="s">
        <v>9765</v>
      </c>
      <c r="J4199" s="12" t="str">
        <f>HYPERLINK("https://www.boe.es/gazeta/dias/1807/04/17/pdfs/GMD-1807-34.pdf#page=8","Abrir facsímil")</f>
        <v>Abrir facsímil</v>
      </c>
      <c r="K4199" s="15" t="s">
        <v>22</v>
      </c>
    </row>
    <row r="4200" spans="1:11" ht="42" customHeight="1">
      <c r="A4200" s="4" t="s">
        <v>9766</v>
      </c>
      <c r="B4200" s="5" t="s">
        <v>9767</v>
      </c>
      <c r="C4200" s="5" t="s">
        <v>34</v>
      </c>
      <c r="D4200" s="5" t="s">
        <v>35</v>
      </c>
      <c r="E4200" s="5" t="s">
        <v>471</v>
      </c>
      <c r="F4200" s="9">
        <v>51</v>
      </c>
      <c r="G4200" s="9">
        <v>605</v>
      </c>
      <c r="H4200" s="5" t="s">
        <v>20</v>
      </c>
      <c r="I4200" s="5" t="s">
        <v>9768</v>
      </c>
      <c r="J4200" s="12" t="str">
        <f>HYPERLINK("https://www.boe.es/gazeta/dias/1807/06/16/pdfs/GMD-1807-51.pdf#page=7","Abrir facsímil")</f>
        <v>Abrir facsímil</v>
      </c>
      <c r="K4200" s="15" t="s">
        <v>22</v>
      </c>
    </row>
    <row r="4201" spans="1:11" ht="42" customHeight="1">
      <c r="A4201" s="4" t="s">
        <v>9766</v>
      </c>
      <c r="B4201" s="5" t="s">
        <v>9767</v>
      </c>
      <c r="C4201" s="5" t="s">
        <v>17</v>
      </c>
      <c r="D4201" s="5" t="s">
        <v>18</v>
      </c>
      <c r="E4201" s="5" t="s">
        <v>167</v>
      </c>
      <c r="F4201" s="9">
        <v>77</v>
      </c>
      <c r="G4201" s="9">
        <v>891</v>
      </c>
      <c r="H4201" s="5" t="s">
        <v>20</v>
      </c>
      <c r="I4201" s="5" t="s">
        <v>9769</v>
      </c>
      <c r="J4201" s="12" t="str">
        <f>HYPERLINK("https://www.boe.es/gazeta/dias/1807/08/28/pdfs/GMD-1807-77.pdf#page=7","Abrir facsímil")</f>
        <v>Abrir facsímil</v>
      </c>
      <c r="K4201" s="15" t="s">
        <v>22</v>
      </c>
    </row>
    <row r="4202" spans="1:11" ht="42" customHeight="1">
      <c r="A4202" s="4" t="s">
        <v>9770</v>
      </c>
      <c r="B4202" s="5" t="s">
        <v>9770</v>
      </c>
      <c r="C4202" s="5" t="s">
        <v>49</v>
      </c>
      <c r="D4202" s="5" t="s">
        <v>50</v>
      </c>
      <c r="E4202" s="5" t="s">
        <v>447</v>
      </c>
      <c r="F4202" s="9">
        <v>65</v>
      </c>
      <c r="G4202" s="9">
        <v>754</v>
      </c>
      <c r="H4202" s="5" t="s">
        <v>20</v>
      </c>
      <c r="I4202" s="5" t="s">
        <v>9771</v>
      </c>
      <c r="J4202" s="12" t="str">
        <f>HYPERLINK("https://www.boe.es/gazeta/dias/1807/07/24/pdfs/GMD-1807-65.pdf#page=4","Abrir facsímil")</f>
        <v>Abrir facsímil</v>
      </c>
      <c r="K4202" s="15" t="s">
        <v>22</v>
      </c>
    </row>
    <row r="4203" spans="1:11" ht="42" customHeight="1">
      <c r="A4203" s="4" t="s">
        <v>9772</v>
      </c>
      <c r="B4203" s="5" t="s">
        <v>9772</v>
      </c>
      <c r="C4203" s="5" t="s">
        <v>49</v>
      </c>
      <c r="D4203" s="5" t="s">
        <v>50</v>
      </c>
      <c r="E4203" s="5" t="s">
        <v>30</v>
      </c>
      <c r="F4203" s="9">
        <v>13</v>
      </c>
      <c r="G4203" s="9">
        <v>147</v>
      </c>
      <c r="H4203" s="5" t="s">
        <v>20</v>
      </c>
      <c r="I4203" s="5" t="s">
        <v>9773</v>
      </c>
      <c r="J4203" s="12" t="str">
        <f>HYPERLINK("https://www.boe.es/gazeta/dias/1807/02/06/pdfs/GMD-1807-13.pdf#page=7","Abrir facsímil")</f>
        <v>Abrir facsímil</v>
      </c>
      <c r="K4203" s="15" t="s">
        <v>22</v>
      </c>
    </row>
    <row r="4204" spans="1:11" ht="42" customHeight="1">
      <c r="A4204" s="4" t="s">
        <v>9774</v>
      </c>
      <c r="B4204" s="5" t="s">
        <v>9775</v>
      </c>
      <c r="C4204" s="5" t="s">
        <v>34</v>
      </c>
      <c r="D4204" s="5" t="s">
        <v>35</v>
      </c>
      <c r="E4204" s="5" t="s">
        <v>106</v>
      </c>
      <c r="F4204" s="9">
        <v>39</v>
      </c>
      <c r="G4204" s="9">
        <v>465</v>
      </c>
      <c r="H4204" s="5" t="s">
        <v>20</v>
      </c>
      <c r="I4204" s="5" t="s">
        <v>9776</v>
      </c>
      <c r="J4204" s="12" t="str">
        <f>HYPERLINK("https://www.boe.es/gazeta/dias/1807/05/05/pdfs/GMD-1807-39.pdf#page=7","Abrir facsímil")</f>
        <v>Abrir facsímil</v>
      </c>
      <c r="K4204" s="15" t="s">
        <v>22</v>
      </c>
    </row>
    <row r="4205" spans="1:11" ht="42" customHeight="1">
      <c r="A4205" s="4" t="s">
        <v>9777</v>
      </c>
      <c r="B4205" s="5" t="s">
        <v>9777</v>
      </c>
      <c r="C4205" s="5" t="s">
        <v>34</v>
      </c>
      <c r="D4205" s="5" t="s">
        <v>35</v>
      </c>
      <c r="E4205" s="5" t="s">
        <v>3230</v>
      </c>
      <c r="F4205" s="9">
        <v>27</v>
      </c>
      <c r="G4205" s="9">
        <v>321</v>
      </c>
      <c r="H4205" s="5" t="s">
        <v>20</v>
      </c>
      <c r="I4205" s="5" t="s">
        <v>9778</v>
      </c>
      <c r="J4205" s="12" t="str">
        <f>HYPERLINK("https://www.boe.es/gazeta/dias/1807/03/24/pdfs/GMD-1807-27.pdf#page=5","Abrir facsímil")</f>
        <v>Abrir facsímil</v>
      </c>
      <c r="K4205" s="15" t="s">
        <v>22</v>
      </c>
    </row>
    <row r="4206" spans="1:11" ht="42" customHeight="1">
      <c r="A4206" s="4" t="s">
        <v>9779</v>
      </c>
      <c r="B4206" s="5" t="s">
        <v>9780</v>
      </c>
      <c r="C4206" s="5" t="s">
        <v>34</v>
      </c>
      <c r="D4206" s="5" t="s">
        <v>35</v>
      </c>
      <c r="E4206" s="5" t="s">
        <v>615</v>
      </c>
      <c r="F4206" s="9" t="s">
        <v>616</v>
      </c>
      <c r="G4206" s="9">
        <v>999</v>
      </c>
      <c r="H4206" s="5" t="s">
        <v>20</v>
      </c>
      <c r="I4206" s="5" t="s">
        <v>9781</v>
      </c>
      <c r="J4206" s="12" t="str">
        <f>HYPERLINK("https://www.boe.es/gazeta/dias/1807/09/27/pdfs/GMD-1807-86E.pdf#page=3","Abrir facsímil")</f>
        <v>Abrir facsímil</v>
      </c>
      <c r="K4206" s="15" t="s">
        <v>22</v>
      </c>
    </row>
    <row r="4207" spans="1:11" ht="42" customHeight="1">
      <c r="A4207" s="4" t="s">
        <v>9782</v>
      </c>
      <c r="B4207" s="5" t="s">
        <v>9783</v>
      </c>
      <c r="C4207" s="5" t="s">
        <v>34</v>
      </c>
      <c r="D4207" s="5" t="s">
        <v>35</v>
      </c>
      <c r="E4207" s="5" t="s">
        <v>183</v>
      </c>
      <c r="F4207" s="9">
        <v>1</v>
      </c>
      <c r="G4207" s="9">
        <v>10</v>
      </c>
      <c r="H4207" s="5" t="s">
        <v>20</v>
      </c>
      <c r="I4207" s="5" t="s">
        <v>9784</v>
      </c>
      <c r="J4207" s="12" t="str">
        <f>HYPERLINK("https://www.boe.es/gazeta/dias/1807/01/02/pdfs/GMD-1807-1.pdf#page=10","Abrir facsímil")</f>
        <v>Abrir facsímil</v>
      </c>
      <c r="K4207" s="15" t="s">
        <v>22</v>
      </c>
    </row>
    <row r="4208" spans="1:11" ht="42" customHeight="1">
      <c r="A4208" s="4" t="s">
        <v>9785</v>
      </c>
      <c r="B4208" s="5" t="s">
        <v>9785</v>
      </c>
      <c r="C4208" s="5" t="s">
        <v>49</v>
      </c>
      <c r="D4208" s="5" t="s">
        <v>50</v>
      </c>
      <c r="E4208" s="5" t="s">
        <v>3230</v>
      </c>
      <c r="F4208" s="9">
        <v>27</v>
      </c>
      <c r="G4208" s="9">
        <v>320</v>
      </c>
      <c r="H4208" s="5" t="s">
        <v>20</v>
      </c>
      <c r="I4208" s="5" t="s">
        <v>9786</v>
      </c>
      <c r="J4208" s="12" t="str">
        <f>HYPERLINK("https://www.boe.es/gazeta/dias/1807/03/24/pdfs/GMD-1807-27.pdf#page=4","Abrir facsímil")</f>
        <v>Abrir facsímil</v>
      </c>
      <c r="K4208" s="15" t="s">
        <v>22</v>
      </c>
    </row>
    <row r="4209" spans="1:11" ht="42" customHeight="1">
      <c r="A4209" s="4" t="s">
        <v>9787</v>
      </c>
      <c r="B4209" s="5" t="s">
        <v>9788</v>
      </c>
      <c r="C4209" s="5" t="s">
        <v>89</v>
      </c>
      <c r="D4209" s="5" t="s">
        <v>90</v>
      </c>
      <c r="E4209" s="5" t="s">
        <v>179</v>
      </c>
      <c r="F4209" s="9">
        <v>100</v>
      </c>
      <c r="G4209" s="9">
        <v>1166</v>
      </c>
      <c r="H4209" s="5" t="s">
        <v>20</v>
      </c>
      <c r="I4209" s="5" t="s">
        <v>9789</v>
      </c>
      <c r="J4209" s="12" t="str">
        <f>HYPERLINK("https://www.boe.es/gazeta/dias/1807/11/10/pdfs/GMD-1807-100.pdf#page=10","Abrir facsímil")</f>
        <v>Abrir facsímil</v>
      </c>
      <c r="K4209" s="15" t="s">
        <v>22</v>
      </c>
    </row>
    <row r="4210" spans="1:11" ht="42" customHeight="1">
      <c r="A4210" s="4" t="s">
        <v>9790</v>
      </c>
      <c r="B4210" s="5" t="s">
        <v>9791</v>
      </c>
      <c r="C4210" s="5" t="s">
        <v>34</v>
      </c>
      <c r="D4210" s="5" t="s">
        <v>35</v>
      </c>
      <c r="E4210" s="5" t="s">
        <v>471</v>
      </c>
      <c r="F4210" s="9">
        <v>51</v>
      </c>
      <c r="G4210" s="9">
        <v>605</v>
      </c>
      <c r="H4210" s="5" t="s">
        <v>20</v>
      </c>
      <c r="I4210" s="5" t="s">
        <v>9792</v>
      </c>
      <c r="J4210" s="12" t="str">
        <f>HYPERLINK("https://www.boe.es/gazeta/dias/1807/06/16/pdfs/GMD-1807-51.pdf#page=7","Abrir facsímil")</f>
        <v>Abrir facsímil</v>
      </c>
      <c r="K4210" s="15" t="s">
        <v>22</v>
      </c>
    </row>
    <row r="4211" spans="1:11" ht="42" customHeight="1">
      <c r="A4211" s="4" t="s">
        <v>9793</v>
      </c>
      <c r="B4211" s="5" t="s">
        <v>9794</v>
      </c>
      <c r="C4211" s="5" t="s">
        <v>28</v>
      </c>
      <c r="D4211" s="5" t="s">
        <v>29</v>
      </c>
      <c r="E4211" s="5" t="s">
        <v>120</v>
      </c>
      <c r="F4211" s="9">
        <v>10</v>
      </c>
      <c r="G4211" s="9">
        <v>111</v>
      </c>
      <c r="H4211" s="5" t="s">
        <v>20</v>
      </c>
      <c r="I4211" s="5" t="s">
        <v>9795</v>
      </c>
      <c r="J4211" s="12" t="str">
        <f>HYPERLINK("https://www.boe.es/gazeta/dias/1807/01/27/pdfs/GMD-1807-10.pdf#page=7","Abrir facsímil")</f>
        <v>Abrir facsímil</v>
      </c>
      <c r="K4211" s="15" t="s">
        <v>22</v>
      </c>
    </row>
    <row r="4212" spans="1:11" ht="42" customHeight="1">
      <c r="A4212" s="4" t="s">
        <v>9796</v>
      </c>
      <c r="B4212" s="5" t="s">
        <v>9797</v>
      </c>
      <c r="C4212" s="5" t="s">
        <v>17</v>
      </c>
      <c r="D4212" s="5" t="s">
        <v>18</v>
      </c>
      <c r="E4212" s="5" t="s">
        <v>190</v>
      </c>
      <c r="F4212" s="9">
        <v>37</v>
      </c>
      <c r="G4212" s="9">
        <v>440</v>
      </c>
      <c r="H4212" s="5" t="s">
        <v>20</v>
      </c>
      <c r="I4212" s="5" t="s">
        <v>9798</v>
      </c>
      <c r="J4212" s="12" t="str">
        <f>HYPERLINK("https://www.boe.es/gazeta/dias/1807/04/28/pdfs/GMD-1807-37.pdf#page=8","Abrir facsímil")</f>
        <v>Abrir facsímil</v>
      </c>
      <c r="K4212" s="15" t="s">
        <v>22</v>
      </c>
    </row>
    <row r="4213" spans="1:11" ht="42" customHeight="1">
      <c r="A4213" s="4" t="s">
        <v>9799</v>
      </c>
      <c r="B4213" s="5" t="s">
        <v>9799</v>
      </c>
      <c r="C4213" s="5" t="s">
        <v>24</v>
      </c>
      <c r="D4213" s="5" t="s">
        <v>18</v>
      </c>
      <c r="E4213" s="5" t="s">
        <v>444</v>
      </c>
      <c r="F4213" s="9">
        <v>95</v>
      </c>
      <c r="G4213" s="9">
        <v>1097</v>
      </c>
      <c r="H4213" s="5" t="s">
        <v>20</v>
      </c>
      <c r="I4213" s="5" t="s">
        <v>9800</v>
      </c>
      <c r="J4213" s="12" t="str">
        <f>HYPERLINK("https://www.boe.es/gazeta/dias/1807/10/23/pdfs/GMD-1807-95.pdf#page=1","Abrir facsímil")</f>
        <v>Abrir facsímil</v>
      </c>
      <c r="K4213" s="15" t="s">
        <v>22</v>
      </c>
    </row>
    <row r="4214" spans="1:11" ht="42" customHeight="1">
      <c r="A4214" s="4" t="s">
        <v>9801</v>
      </c>
      <c r="B4214" s="5" t="s">
        <v>9802</v>
      </c>
      <c r="C4214" s="5" t="s">
        <v>24</v>
      </c>
      <c r="D4214" s="5" t="s">
        <v>18</v>
      </c>
      <c r="E4214" s="5" t="s">
        <v>167</v>
      </c>
      <c r="F4214" s="9">
        <v>77</v>
      </c>
      <c r="G4214" s="9">
        <v>893</v>
      </c>
      <c r="H4214" s="5" t="s">
        <v>20</v>
      </c>
      <c r="I4214" s="5" t="s">
        <v>9803</v>
      </c>
      <c r="J4214" s="12" t="str">
        <f>HYPERLINK("https://www.boe.es/gazeta/dias/1807/08/28/pdfs/GMD-1807-77.pdf#page=9","Abrir facsímil")</f>
        <v>Abrir facsímil</v>
      </c>
      <c r="K4214" s="15" t="s">
        <v>22</v>
      </c>
    </row>
    <row r="4215" spans="1:11" ht="42" customHeight="1">
      <c r="A4215" s="4" t="s">
        <v>9804</v>
      </c>
      <c r="B4215" s="5" t="s">
        <v>9804</v>
      </c>
      <c r="C4215" s="5" t="s">
        <v>34</v>
      </c>
      <c r="D4215" s="5" t="s">
        <v>35</v>
      </c>
      <c r="E4215" s="5" t="s">
        <v>929</v>
      </c>
      <c r="F4215" s="9">
        <v>85</v>
      </c>
      <c r="G4215" s="9">
        <v>992</v>
      </c>
      <c r="H4215" s="5" t="s">
        <v>20</v>
      </c>
      <c r="I4215" s="5" t="s">
        <v>9805</v>
      </c>
      <c r="J4215" s="12" t="str">
        <f>HYPERLINK("https://www.boe.es/gazeta/dias/1807/09/25/pdfs/GMD-1807-85.pdf#page=8","Abrir facsímil")</f>
        <v>Abrir facsímil</v>
      </c>
      <c r="K4215" s="15" t="s">
        <v>22</v>
      </c>
    </row>
    <row r="4216" spans="1:11" ht="42" customHeight="1">
      <c r="A4216" s="4" t="s">
        <v>9806</v>
      </c>
      <c r="B4216" s="5" t="s">
        <v>9807</v>
      </c>
      <c r="C4216" s="5" t="s">
        <v>49</v>
      </c>
      <c r="D4216" s="5" t="s">
        <v>50</v>
      </c>
      <c r="E4216" s="5" t="s">
        <v>259</v>
      </c>
      <c r="F4216" s="9">
        <v>3</v>
      </c>
      <c r="G4216" s="9">
        <v>24</v>
      </c>
      <c r="H4216" s="5" t="s">
        <v>20</v>
      </c>
      <c r="I4216" s="5" t="s">
        <v>9808</v>
      </c>
      <c r="J4216" s="12" t="str">
        <f>HYPERLINK("https://www.boe.es/gazeta/dias/1807/01/09/pdfs/GMD-1807-3.pdf#page=4","Abrir facsímil")</f>
        <v>Abrir facsímil</v>
      </c>
      <c r="K4216" s="15" t="s">
        <v>22</v>
      </c>
    </row>
    <row r="4217" spans="1:11" ht="42" customHeight="1">
      <c r="A4217" s="4" t="s">
        <v>9809</v>
      </c>
      <c r="B4217" s="5" t="s">
        <v>9810</v>
      </c>
      <c r="C4217" s="5" t="s">
        <v>28</v>
      </c>
      <c r="D4217" s="5" t="s">
        <v>29</v>
      </c>
      <c r="E4217" s="5" t="s">
        <v>94</v>
      </c>
      <c r="F4217" s="9">
        <v>22</v>
      </c>
      <c r="G4217" s="9">
        <v>255</v>
      </c>
      <c r="H4217" s="5" t="s">
        <v>20</v>
      </c>
      <c r="I4217" s="5" t="s">
        <v>9811</v>
      </c>
      <c r="J4217" s="12" t="str">
        <f>HYPERLINK("https://www.boe.es/gazeta/dias/1807/03/06/pdfs/GMD-1807-22.pdf#page=7","Abrir facsímil")</f>
        <v>Abrir facsímil</v>
      </c>
      <c r="K4217" s="15" t="s">
        <v>22</v>
      </c>
    </row>
    <row r="4218" spans="1:11" ht="42" customHeight="1">
      <c r="A4218" s="4" t="s">
        <v>9812</v>
      </c>
      <c r="B4218" s="5" t="s">
        <v>9813</v>
      </c>
      <c r="C4218" s="5" t="s">
        <v>28</v>
      </c>
      <c r="D4218" s="5" t="s">
        <v>29</v>
      </c>
      <c r="E4218" s="5" t="s">
        <v>321</v>
      </c>
      <c r="F4218" s="9">
        <v>75</v>
      </c>
      <c r="G4218" s="9">
        <v>869</v>
      </c>
      <c r="H4218" s="5" t="s">
        <v>20</v>
      </c>
      <c r="I4218" s="5" t="s">
        <v>9814</v>
      </c>
      <c r="J4218" s="12" t="str">
        <f>HYPERLINK("https://www.boe.es/gazeta/dias/1807/08/21/pdfs/GMD-1807-75.pdf#page=9","Abrir facsímil")</f>
        <v>Abrir facsímil</v>
      </c>
      <c r="K4218" s="15" t="s">
        <v>22</v>
      </c>
    </row>
    <row r="4219" spans="1:11" ht="42" customHeight="1">
      <c r="A4219" s="4" t="s">
        <v>9815</v>
      </c>
      <c r="B4219" s="5" t="s">
        <v>9816</v>
      </c>
      <c r="C4219" s="5" t="s">
        <v>28</v>
      </c>
      <c r="D4219" s="5" t="s">
        <v>29</v>
      </c>
      <c r="E4219" s="5" t="s">
        <v>321</v>
      </c>
      <c r="F4219" s="9">
        <v>75</v>
      </c>
      <c r="G4219" s="9">
        <v>870</v>
      </c>
      <c r="H4219" s="5" t="s">
        <v>20</v>
      </c>
      <c r="I4219" s="5" t="s">
        <v>9817</v>
      </c>
      <c r="J4219" s="12" t="str">
        <f>HYPERLINK("https://www.boe.es/gazeta/dias/1807/08/21/pdfs/GMD-1807-75.pdf#page=10","Abrir facsímil")</f>
        <v>Abrir facsímil</v>
      </c>
      <c r="K4219" s="15" t="s">
        <v>22</v>
      </c>
    </row>
    <row r="4220" spans="1:11" ht="42" customHeight="1">
      <c r="A4220" s="4" t="s">
        <v>9818</v>
      </c>
      <c r="B4220" s="5" t="s">
        <v>9818</v>
      </c>
      <c r="C4220" s="5" t="s">
        <v>49</v>
      </c>
      <c r="D4220" s="5" t="s">
        <v>50</v>
      </c>
      <c r="E4220" s="5" t="s">
        <v>104</v>
      </c>
      <c r="F4220" s="9">
        <v>25</v>
      </c>
      <c r="G4220" s="9">
        <v>299</v>
      </c>
      <c r="H4220" s="5" t="s">
        <v>20</v>
      </c>
      <c r="I4220" s="5" t="s">
        <v>9819</v>
      </c>
      <c r="J4220" s="12" t="str">
        <f>HYPERLINK("https://www.boe.es/gazeta/dias/1807/03/17/pdfs/GMD-1807-25.pdf#page=7","Abrir facsímil")</f>
        <v>Abrir facsímil</v>
      </c>
      <c r="K4220" s="15" t="s">
        <v>22</v>
      </c>
    </row>
    <row r="4221" spans="1:11" ht="42" customHeight="1">
      <c r="A4221" s="4" t="s">
        <v>9820</v>
      </c>
      <c r="B4221" s="5" t="s">
        <v>9821</v>
      </c>
      <c r="C4221" s="5" t="s">
        <v>34</v>
      </c>
      <c r="D4221" s="5" t="s">
        <v>35</v>
      </c>
      <c r="E4221" s="5" t="s">
        <v>62</v>
      </c>
      <c r="F4221" s="9">
        <v>68</v>
      </c>
      <c r="G4221" s="9">
        <v>784</v>
      </c>
      <c r="H4221" s="5" t="s">
        <v>20</v>
      </c>
      <c r="I4221" s="5" t="s">
        <v>9822</v>
      </c>
      <c r="J4221" s="12" t="str">
        <f>HYPERLINK("https://www.boe.es/gazeta/dias/1807/07/31/pdfs/GMD-1807-68.pdf#page=8","Abrir facsímil")</f>
        <v>Abrir facsímil</v>
      </c>
      <c r="K4221" s="15" t="s">
        <v>22</v>
      </c>
    </row>
    <row r="4222" spans="1:11" ht="42" customHeight="1">
      <c r="A4222" s="4" t="s">
        <v>9823</v>
      </c>
      <c r="B4222" s="5" t="s">
        <v>9824</v>
      </c>
      <c r="C4222" s="5" t="s">
        <v>28</v>
      </c>
      <c r="D4222" s="5" t="s">
        <v>29</v>
      </c>
      <c r="E4222" s="5" t="s">
        <v>40</v>
      </c>
      <c r="F4222" s="9">
        <v>26</v>
      </c>
      <c r="G4222" s="9">
        <v>310</v>
      </c>
      <c r="H4222" s="5" t="s">
        <v>20</v>
      </c>
      <c r="I4222" s="5" t="s">
        <v>9825</v>
      </c>
      <c r="J4222" s="12" t="str">
        <f>HYPERLINK("https://www.boe.es/gazeta/dias/1807/03/20/pdfs/GMD-1807-26.pdf#page=6","Abrir facsímil")</f>
        <v>Abrir facsímil</v>
      </c>
      <c r="K4222" s="15" t="s">
        <v>22</v>
      </c>
    </row>
    <row r="4223" spans="1:11" ht="42" customHeight="1">
      <c r="A4223" s="4" t="s">
        <v>9826</v>
      </c>
      <c r="B4223" s="5" t="s">
        <v>9827</v>
      </c>
      <c r="C4223" s="5" t="s">
        <v>34</v>
      </c>
      <c r="D4223" s="5" t="s">
        <v>35</v>
      </c>
      <c r="E4223" s="5" t="s">
        <v>106</v>
      </c>
      <c r="F4223" s="9">
        <v>39</v>
      </c>
      <c r="G4223" s="9">
        <v>465</v>
      </c>
      <c r="H4223" s="5" t="s">
        <v>20</v>
      </c>
      <c r="I4223" s="5" t="s">
        <v>9828</v>
      </c>
      <c r="J4223" s="12" t="str">
        <f>HYPERLINK("https://www.boe.es/gazeta/dias/1807/05/05/pdfs/GMD-1807-39.pdf#page=7","Abrir facsímil")</f>
        <v>Abrir facsímil</v>
      </c>
      <c r="K4223" s="15" t="s">
        <v>22</v>
      </c>
    </row>
    <row r="4224" spans="1:11" ht="42" customHeight="1">
      <c r="A4224" s="4" t="s">
        <v>9829</v>
      </c>
      <c r="B4224" s="5" t="s">
        <v>9830</v>
      </c>
      <c r="C4224" s="5" t="s">
        <v>34</v>
      </c>
      <c r="D4224" s="5" t="s">
        <v>35</v>
      </c>
      <c r="E4224" s="5" t="s">
        <v>319</v>
      </c>
      <c r="F4224" s="9">
        <v>54</v>
      </c>
      <c r="G4224" s="9">
        <v>645</v>
      </c>
      <c r="H4224" s="5" t="s">
        <v>20</v>
      </c>
      <c r="I4224" s="5" t="s">
        <v>9831</v>
      </c>
      <c r="J4224" s="12" t="str">
        <f>HYPERLINK("https://www.boe.es/gazeta/dias/1807/06/26/pdfs/GMD-1807-54.pdf#page=7","Abrir facsímil")</f>
        <v>Abrir facsímil</v>
      </c>
      <c r="K4224" s="15" t="s">
        <v>22</v>
      </c>
    </row>
    <row r="4225" spans="1:11" ht="42" customHeight="1">
      <c r="A4225" s="4" t="s">
        <v>9832</v>
      </c>
      <c r="B4225" s="5" t="s">
        <v>9833</v>
      </c>
      <c r="C4225" s="5" t="s">
        <v>69</v>
      </c>
      <c r="D4225" s="5" t="s">
        <v>70</v>
      </c>
      <c r="E4225" s="5" t="s">
        <v>71</v>
      </c>
      <c r="F4225" s="9">
        <v>35</v>
      </c>
      <c r="G4225" s="9" t="s">
        <v>197</v>
      </c>
      <c r="H4225" s="5" t="s">
        <v>20</v>
      </c>
      <c r="I4225" s="5" t="s">
        <v>9834</v>
      </c>
      <c r="J4225" s="12" t="str">
        <f>HYPERLINK("https://www.boe.es/gazeta/dias/1807/04/21/pdfs/C00001-00004.pdf#page=3","Abrir facsímil")</f>
        <v>Abrir facsímil</v>
      </c>
      <c r="K4225" s="15" t="s">
        <v>22</v>
      </c>
    </row>
    <row r="4226" spans="1:11" ht="42" customHeight="1">
      <c r="A4226" s="4" t="s">
        <v>9835</v>
      </c>
      <c r="B4226" s="5" t="s">
        <v>9836</v>
      </c>
      <c r="C4226" s="5" t="s">
        <v>17</v>
      </c>
      <c r="D4226" s="5" t="s">
        <v>18</v>
      </c>
      <c r="E4226" s="5" t="s">
        <v>319</v>
      </c>
      <c r="F4226" s="9">
        <v>54</v>
      </c>
      <c r="G4226" s="9">
        <v>644</v>
      </c>
      <c r="H4226" s="5" t="s">
        <v>20</v>
      </c>
      <c r="I4226" s="5" t="s">
        <v>9837</v>
      </c>
      <c r="J4226" s="12" t="str">
        <f>HYPERLINK("https://www.boe.es/gazeta/dias/1807/06/26/pdfs/GMD-1807-54.pdf#page=6","Abrir facsímil")</f>
        <v>Abrir facsímil</v>
      </c>
      <c r="K4226" s="15" t="s">
        <v>22</v>
      </c>
    </row>
    <row r="4227" spans="1:11" ht="42" customHeight="1">
      <c r="A4227" s="4" t="s">
        <v>9838</v>
      </c>
      <c r="B4227" s="5" t="s">
        <v>9839</v>
      </c>
      <c r="C4227" s="5" t="s">
        <v>34</v>
      </c>
      <c r="D4227" s="5" t="s">
        <v>35</v>
      </c>
      <c r="E4227" s="5" t="s">
        <v>393</v>
      </c>
      <c r="F4227" s="9">
        <v>15</v>
      </c>
      <c r="G4227" s="9">
        <v>172</v>
      </c>
      <c r="H4227" s="5" t="s">
        <v>20</v>
      </c>
      <c r="I4227" s="5" t="s">
        <v>9840</v>
      </c>
      <c r="J4227" s="12" t="str">
        <f>HYPERLINK("https://www.boe.es/gazeta/dias/1807/02/13/pdfs/GMD-1807-15.pdf#page=8","Abrir facsímil")</f>
        <v>Abrir facsímil</v>
      </c>
      <c r="K4227" s="15" t="s">
        <v>22</v>
      </c>
    </row>
    <row r="4228" spans="1:11" ht="42" customHeight="1">
      <c r="A4228" s="4" t="s">
        <v>9841</v>
      </c>
      <c r="B4228" s="5" t="s">
        <v>9842</v>
      </c>
      <c r="C4228" s="5" t="s">
        <v>28</v>
      </c>
      <c r="D4228" s="5" t="s">
        <v>29</v>
      </c>
      <c r="E4228" s="5" t="s">
        <v>654</v>
      </c>
      <c r="F4228" s="9">
        <v>94</v>
      </c>
      <c r="G4228" s="9">
        <v>1092</v>
      </c>
      <c r="H4228" s="5" t="s">
        <v>20</v>
      </c>
      <c r="I4228" s="5" t="s">
        <v>9843</v>
      </c>
      <c r="J4228" s="12" t="str">
        <f>HYPERLINK("https://www.boe.es/gazeta/dias/1807/10/20/pdfs/GMD-1807-94.pdf#page=8","Abrir facsímil")</f>
        <v>Abrir facsímil</v>
      </c>
      <c r="K4228" s="15" t="s">
        <v>22</v>
      </c>
    </row>
    <row r="4229" spans="1:11" ht="42" customHeight="1">
      <c r="A4229" s="4" t="s">
        <v>9844</v>
      </c>
      <c r="B4229" s="5" t="s">
        <v>9845</v>
      </c>
      <c r="C4229" s="5" t="s">
        <v>17</v>
      </c>
      <c r="D4229" s="5" t="s">
        <v>18</v>
      </c>
      <c r="E4229" s="5" t="s">
        <v>666</v>
      </c>
      <c r="F4229" s="9">
        <v>43</v>
      </c>
      <c r="G4229" s="9">
        <v>515</v>
      </c>
      <c r="H4229" s="5" t="s">
        <v>20</v>
      </c>
      <c r="I4229" s="5" t="s">
        <v>9846</v>
      </c>
      <c r="J4229" s="12" t="str">
        <f>HYPERLINK("https://www.boe.es/gazeta/dias/1807/05/19/pdfs/GMD-1807-43.pdf#page=9","Abrir facsímil")</f>
        <v>Abrir facsímil</v>
      </c>
      <c r="K4229" s="15" t="s">
        <v>22</v>
      </c>
    </row>
    <row r="4230" spans="1:11" ht="42" customHeight="1">
      <c r="A4230" s="4" t="s">
        <v>9847</v>
      </c>
      <c r="B4230" s="5" t="s">
        <v>9847</v>
      </c>
      <c r="C4230" s="5" t="s">
        <v>24</v>
      </c>
      <c r="D4230" s="5" t="s">
        <v>18</v>
      </c>
      <c r="E4230" s="5" t="s">
        <v>464</v>
      </c>
      <c r="F4230" s="9">
        <v>18</v>
      </c>
      <c r="G4230" s="9">
        <v>203</v>
      </c>
      <c r="H4230" s="5" t="s">
        <v>20</v>
      </c>
      <c r="I4230" s="5" t="s">
        <v>9848</v>
      </c>
      <c r="J4230" s="12" t="str">
        <f>HYPERLINK("https://www.boe.es/gazeta/dias/1807/02/24/pdfs/GMD-1807-18.pdf#page=3","Abrir facsímil")</f>
        <v>Abrir facsímil</v>
      </c>
      <c r="K4230" s="15" t="s">
        <v>22</v>
      </c>
    </row>
    <row r="4231" spans="1:11" ht="42" customHeight="1">
      <c r="A4231" s="4" t="s">
        <v>9849</v>
      </c>
      <c r="B4231" s="5" t="s">
        <v>9850</v>
      </c>
      <c r="C4231" s="5" t="s">
        <v>17</v>
      </c>
      <c r="D4231" s="5" t="s">
        <v>18</v>
      </c>
      <c r="E4231" s="5" t="s">
        <v>471</v>
      </c>
      <c r="F4231" s="9">
        <v>51</v>
      </c>
      <c r="G4231" s="9">
        <v>605</v>
      </c>
      <c r="H4231" s="5" t="s">
        <v>20</v>
      </c>
      <c r="I4231" s="5" t="s">
        <v>9851</v>
      </c>
      <c r="J4231" s="12" t="str">
        <f>HYPERLINK("https://www.boe.es/gazeta/dias/1807/06/16/pdfs/GMD-1807-51.pdf#page=7","Abrir facsímil")</f>
        <v>Abrir facsímil</v>
      </c>
      <c r="K4231" s="15" t="s">
        <v>22</v>
      </c>
    </row>
    <row r="4232" spans="1:11" ht="42" customHeight="1">
      <c r="A4232" s="4" t="s">
        <v>9852</v>
      </c>
      <c r="B4232" s="5" t="s">
        <v>9853</v>
      </c>
      <c r="C4232" s="5" t="s">
        <v>17</v>
      </c>
      <c r="D4232" s="5" t="s">
        <v>18</v>
      </c>
      <c r="E4232" s="5" t="s">
        <v>406</v>
      </c>
      <c r="F4232" s="9">
        <v>82</v>
      </c>
      <c r="G4232" s="9">
        <v>956</v>
      </c>
      <c r="H4232" s="5" t="s">
        <v>20</v>
      </c>
      <c r="I4232" s="5" t="s">
        <v>9854</v>
      </c>
      <c r="J4232" s="12" t="str">
        <f>HYPERLINK("https://www.boe.es/gazeta/dias/1807/09/15/pdfs/GMD-1807-82.pdf#page=8","Abrir facsímil")</f>
        <v>Abrir facsímil</v>
      </c>
      <c r="K4232" s="15" t="s">
        <v>22</v>
      </c>
    </row>
    <row r="4233" spans="1:11" ht="42" customHeight="1">
      <c r="A4233" s="4" t="s">
        <v>9855</v>
      </c>
      <c r="B4233" s="5" t="s">
        <v>9856</v>
      </c>
      <c r="C4233" s="5" t="s">
        <v>49</v>
      </c>
      <c r="D4233" s="5" t="s">
        <v>50</v>
      </c>
      <c r="E4233" s="5" t="s">
        <v>275</v>
      </c>
      <c r="F4233" s="9">
        <v>104</v>
      </c>
      <c r="G4233" s="9">
        <v>1208</v>
      </c>
      <c r="H4233" s="5" t="s">
        <v>20</v>
      </c>
      <c r="I4233" s="5" t="s">
        <v>9857</v>
      </c>
      <c r="J4233" s="12" t="str">
        <f>HYPERLINK("https://www.boe.es/gazeta/dias/1807/11/24/pdfs/GMD-1807-104.pdf#page=4","Abrir facsímil")</f>
        <v>Abrir facsímil</v>
      </c>
      <c r="K4233" s="15" t="s">
        <v>22</v>
      </c>
    </row>
    <row r="4234" spans="1:11" ht="42" customHeight="1">
      <c r="A4234" s="4" t="s">
        <v>9858</v>
      </c>
      <c r="B4234" s="5" t="s">
        <v>9858</v>
      </c>
      <c r="C4234" s="5" t="s">
        <v>49</v>
      </c>
      <c r="D4234" s="5" t="s">
        <v>50</v>
      </c>
      <c r="E4234" s="5" t="s">
        <v>461</v>
      </c>
      <c r="F4234" s="9">
        <v>99</v>
      </c>
      <c r="G4234" s="9">
        <v>1149</v>
      </c>
      <c r="H4234" s="5" t="s">
        <v>20</v>
      </c>
      <c r="I4234" s="5" t="s">
        <v>9859</v>
      </c>
      <c r="J4234" s="12" t="str">
        <f>HYPERLINK("https://www.boe.es/gazeta/dias/1807/11/06/pdfs/GMD-1807-99.pdf#page=5","Abrir facsímil")</f>
        <v>Abrir facsímil</v>
      </c>
      <c r="K4234" s="15" t="s">
        <v>22</v>
      </c>
    </row>
    <row r="4235" spans="1:11" ht="42" customHeight="1">
      <c r="A4235" s="4" t="s">
        <v>9858</v>
      </c>
      <c r="B4235" s="5" t="s">
        <v>9858</v>
      </c>
      <c r="C4235" s="5" t="s">
        <v>49</v>
      </c>
      <c r="D4235" s="5" t="s">
        <v>50</v>
      </c>
      <c r="E4235" s="5" t="s">
        <v>361</v>
      </c>
      <c r="F4235" s="9">
        <v>113</v>
      </c>
      <c r="G4235" s="9">
        <v>1314</v>
      </c>
      <c r="H4235" s="5" t="s">
        <v>20</v>
      </c>
      <c r="I4235" s="5" t="s">
        <v>9860</v>
      </c>
      <c r="J4235" s="12" t="str">
        <f>HYPERLINK("https://www.boe.es/gazeta/dias/1807/12/22/pdfs/GMD-1807-113.pdf#page=2","Abrir facsímil")</f>
        <v>Abrir facsímil</v>
      </c>
      <c r="K4235" s="15" t="s">
        <v>22</v>
      </c>
    </row>
    <row r="4236" spans="1:11" ht="42" customHeight="1">
      <c r="A4236" s="4" t="s">
        <v>9861</v>
      </c>
      <c r="B4236" s="5" t="s">
        <v>9862</v>
      </c>
      <c r="C4236" s="5" t="s">
        <v>24</v>
      </c>
      <c r="D4236" s="5" t="s">
        <v>18</v>
      </c>
      <c r="E4236" s="5" t="s">
        <v>46</v>
      </c>
      <c r="F4236" s="9">
        <v>78</v>
      </c>
      <c r="G4236" s="9">
        <v>904</v>
      </c>
      <c r="H4236" s="5" t="s">
        <v>20</v>
      </c>
      <c r="I4236" s="5" t="s">
        <v>9863</v>
      </c>
      <c r="J4236" s="12" t="str">
        <f>HYPERLINK("https://www.boe.es/gazeta/dias/1807/09/01/pdfs/GMD-1807-78.pdf#page=8","Abrir facsímil")</f>
        <v>Abrir facsímil</v>
      </c>
      <c r="K4236" s="15" t="s">
        <v>22</v>
      </c>
    </row>
    <row r="4237" spans="1:11" ht="42" customHeight="1">
      <c r="A4237" s="4" t="s">
        <v>9864</v>
      </c>
      <c r="B4237" s="5" t="s">
        <v>9865</v>
      </c>
      <c r="C4237" s="5" t="s">
        <v>34</v>
      </c>
      <c r="D4237" s="5" t="s">
        <v>35</v>
      </c>
      <c r="E4237" s="5" t="s">
        <v>3230</v>
      </c>
      <c r="F4237" s="9">
        <v>27</v>
      </c>
      <c r="G4237" s="9">
        <v>325</v>
      </c>
      <c r="H4237" s="5" t="s">
        <v>20</v>
      </c>
      <c r="I4237" s="5" t="s">
        <v>9866</v>
      </c>
      <c r="J4237" s="12" t="str">
        <f>HYPERLINK("https://www.boe.es/gazeta/dias/1807/03/24/pdfs/GMD-1807-27.pdf#page=9","Abrir facsímil")</f>
        <v>Abrir facsímil</v>
      </c>
      <c r="K4237" s="15" t="s">
        <v>22</v>
      </c>
    </row>
    <row r="4238" spans="1:11" ht="42" customHeight="1">
      <c r="A4238" s="4" t="s">
        <v>9867</v>
      </c>
      <c r="B4238" s="5" t="s">
        <v>9867</v>
      </c>
      <c r="C4238" s="5" t="s">
        <v>49</v>
      </c>
      <c r="D4238" s="5" t="s">
        <v>50</v>
      </c>
      <c r="E4238" s="5" t="s">
        <v>179</v>
      </c>
      <c r="F4238" s="9">
        <v>100</v>
      </c>
      <c r="G4238" s="9">
        <v>1157</v>
      </c>
      <c r="H4238" s="5" t="s">
        <v>20</v>
      </c>
      <c r="I4238" s="5" t="s">
        <v>9868</v>
      </c>
      <c r="J4238" s="12" t="str">
        <f>HYPERLINK("https://www.boe.es/gazeta/dias/1807/11/10/pdfs/GMD-1807-100.pdf#page=1","Abrir facsímil")</f>
        <v>Abrir facsímil</v>
      </c>
      <c r="K4238" s="15" t="s">
        <v>22</v>
      </c>
    </row>
    <row r="4239" spans="1:11" ht="42" customHeight="1">
      <c r="A4239" s="4" t="s">
        <v>9869</v>
      </c>
      <c r="B4239" s="5" t="s">
        <v>9869</v>
      </c>
      <c r="C4239" s="5" t="s">
        <v>34</v>
      </c>
      <c r="D4239" s="5" t="s">
        <v>35</v>
      </c>
      <c r="E4239" s="5" t="s">
        <v>98</v>
      </c>
      <c r="F4239" s="9">
        <v>34</v>
      </c>
      <c r="G4239" s="9">
        <v>402</v>
      </c>
      <c r="H4239" s="5" t="s">
        <v>20</v>
      </c>
      <c r="I4239" s="5" t="s">
        <v>9870</v>
      </c>
      <c r="J4239" s="12" t="str">
        <f>HYPERLINK("https://www.boe.es/gazeta/dias/1807/04/17/pdfs/GMD-1807-34.pdf#page=6","Abrir facsímil")</f>
        <v>Abrir facsímil</v>
      </c>
      <c r="K4239" s="15" t="s">
        <v>22</v>
      </c>
    </row>
    <row r="4240" spans="1:11" ht="42" customHeight="1">
      <c r="A4240" s="4" t="s">
        <v>9871</v>
      </c>
      <c r="B4240" s="5" t="s">
        <v>9871</v>
      </c>
      <c r="C4240" s="5" t="s">
        <v>49</v>
      </c>
      <c r="D4240" s="5" t="s">
        <v>50</v>
      </c>
      <c r="E4240" s="5" t="s">
        <v>167</v>
      </c>
      <c r="F4240" s="9">
        <v>77</v>
      </c>
      <c r="G4240" s="9">
        <v>887</v>
      </c>
      <c r="H4240" s="5" t="s">
        <v>20</v>
      </c>
      <c r="I4240" s="5" t="s">
        <v>9872</v>
      </c>
      <c r="J4240" s="12" t="str">
        <f>HYPERLINK("https://www.boe.es/gazeta/dias/1807/08/28/pdfs/GMD-1807-77.pdf#page=3","Abrir facsímil")</f>
        <v>Abrir facsímil</v>
      </c>
      <c r="K4240" s="15" t="s">
        <v>22</v>
      </c>
    </row>
    <row r="4241" spans="1:11" ht="42" customHeight="1">
      <c r="A4241" s="4" t="s">
        <v>9873</v>
      </c>
      <c r="B4241" s="5" t="s">
        <v>9874</v>
      </c>
      <c r="C4241" s="5" t="s">
        <v>34</v>
      </c>
      <c r="D4241" s="5" t="s">
        <v>35</v>
      </c>
      <c r="E4241" s="5" t="s">
        <v>471</v>
      </c>
      <c r="F4241" s="9">
        <v>51</v>
      </c>
      <c r="G4241" s="9">
        <v>605</v>
      </c>
      <c r="H4241" s="5" t="s">
        <v>20</v>
      </c>
      <c r="I4241" s="5" t="s">
        <v>9875</v>
      </c>
      <c r="J4241" s="12" t="str">
        <f>HYPERLINK("https://www.boe.es/gazeta/dias/1807/06/16/pdfs/GMD-1807-51.pdf#page=7","Abrir facsímil")</f>
        <v>Abrir facsímil</v>
      </c>
      <c r="K4241" s="15" t="s">
        <v>22</v>
      </c>
    </row>
    <row r="4242" spans="1:11" ht="42" customHeight="1">
      <c r="A4242" s="4" t="s">
        <v>9876</v>
      </c>
      <c r="B4242" s="5" t="s">
        <v>9877</v>
      </c>
      <c r="C4242" s="5" t="s">
        <v>34</v>
      </c>
      <c r="D4242" s="5" t="s">
        <v>35</v>
      </c>
      <c r="E4242" s="5" t="s">
        <v>530</v>
      </c>
      <c r="F4242" s="9">
        <v>79</v>
      </c>
      <c r="G4242" s="9">
        <v>918</v>
      </c>
      <c r="H4242" s="5" t="s">
        <v>20</v>
      </c>
      <c r="I4242" s="5" t="s">
        <v>9878</v>
      </c>
      <c r="J4242" s="12" t="str">
        <f>HYPERLINK("https://www.boe.es/gazeta/dias/1807/09/04/pdfs/GMD-1807-79.pdf#page=10","Abrir facsímil")</f>
        <v>Abrir facsímil</v>
      </c>
      <c r="K4242" s="15" t="s">
        <v>22</v>
      </c>
    </row>
    <row r="4243" spans="1:11" ht="42" customHeight="1">
      <c r="A4243" s="4" t="s">
        <v>9879</v>
      </c>
      <c r="B4243" s="5" t="s">
        <v>9880</v>
      </c>
      <c r="C4243" s="5" t="s">
        <v>28</v>
      </c>
      <c r="D4243" s="5" t="s">
        <v>29</v>
      </c>
      <c r="E4243" s="5" t="s">
        <v>221</v>
      </c>
      <c r="F4243" s="9">
        <v>73</v>
      </c>
      <c r="G4243" s="9">
        <v>846</v>
      </c>
      <c r="H4243" s="5" t="s">
        <v>20</v>
      </c>
      <c r="I4243" s="5" t="s">
        <v>9881</v>
      </c>
      <c r="J4243" s="12" t="str">
        <f>HYPERLINK("https://www.boe.es/gazeta/dias/1807/08/14/pdfs/GMD-1807-73.pdf#page=10","Abrir facsímil")</f>
        <v>Abrir facsímil</v>
      </c>
      <c r="K4243" s="15" t="s">
        <v>22</v>
      </c>
    </row>
    <row r="4244" spans="1:11" ht="42" customHeight="1">
      <c r="A4244" s="4" t="s">
        <v>9882</v>
      </c>
      <c r="B4244" s="5" t="s">
        <v>9882</v>
      </c>
      <c r="C4244" s="5" t="s">
        <v>34</v>
      </c>
      <c r="D4244" s="5" t="s">
        <v>35</v>
      </c>
      <c r="E4244" s="5" t="s">
        <v>561</v>
      </c>
      <c r="F4244" s="9">
        <v>44</v>
      </c>
      <c r="G4244" s="9">
        <v>520</v>
      </c>
      <c r="H4244" s="5" t="s">
        <v>20</v>
      </c>
      <c r="I4244" s="5" t="s">
        <v>9883</v>
      </c>
      <c r="J4244" s="12" t="str">
        <f>HYPERLINK("https://www.boe.es/gazeta/dias/1807/05/22/pdfs/GMD-1807-44.pdf#page=2","Abrir facsímil")</f>
        <v>Abrir facsímil</v>
      </c>
      <c r="K4244" s="15" t="s">
        <v>22</v>
      </c>
    </row>
    <row r="4245" spans="1:11" ht="42" customHeight="1">
      <c r="A4245" s="4" t="s">
        <v>9884</v>
      </c>
      <c r="B4245" s="5" t="s">
        <v>9884</v>
      </c>
      <c r="C4245" s="5" t="s">
        <v>34</v>
      </c>
      <c r="D4245" s="5" t="s">
        <v>35</v>
      </c>
      <c r="E4245" s="5" t="s">
        <v>444</v>
      </c>
      <c r="F4245" s="9">
        <v>95</v>
      </c>
      <c r="G4245" s="9">
        <v>1097</v>
      </c>
      <c r="H4245" s="5" t="s">
        <v>20</v>
      </c>
      <c r="I4245" s="5" t="s">
        <v>9885</v>
      </c>
      <c r="J4245" s="12" t="str">
        <f>HYPERLINK("https://www.boe.es/gazeta/dias/1807/10/23/pdfs/GMD-1807-95.pdf#page=1","Abrir facsímil")</f>
        <v>Abrir facsímil</v>
      </c>
      <c r="K4245" s="15" t="s">
        <v>22</v>
      </c>
    </row>
    <row r="4246" spans="1:11" ht="42" customHeight="1">
      <c r="A4246" s="4" t="s">
        <v>9884</v>
      </c>
      <c r="B4246" s="5" t="s">
        <v>9884</v>
      </c>
      <c r="C4246" s="5" t="s">
        <v>28</v>
      </c>
      <c r="D4246" s="5" t="s">
        <v>29</v>
      </c>
      <c r="E4246" s="5" t="s">
        <v>327</v>
      </c>
      <c r="F4246" s="9">
        <v>108</v>
      </c>
      <c r="G4246" s="9">
        <v>1258</v>
      </c>
      <c r="H4246" s="5" t="s">
        <v>20</v>
      </c>
      <c r="I4246" s="5" t="s">
        <v>9886</v>
      </c>
      <c r="J4246" s="12" t="str">
        <f>HYPERLINK("https://www.boe.es/gazeta/dias/1807/12/04/pdfs/GMD-1807-108.pdf#page=6","Abrir facsímil")</f>
        <v>Abrir facsímil</v>
      </c>
      <c r="K4246" s="15" t="s">
        <v>22</v>
      </c>
    </row>
    <row r="4247" spans="1:11" ht="42" customHeight="1">
      <c r="A4247" s="4" t="s">
        <v>9887</v>
      </c>
      <c r="B4247" s="5" t="s">
        <v>9887</v>
      </c>
      <c r="C4247" s="5" t="s">
        <v>28</v>
      </c>
      <c r="D4247" s="5" t="s">
        <v>29</v>
      </c>
      <c r="E4247" s="5" t="s">
        <v>686</v>
      </c>
      <c r="F4247" s="9">
        <v>106</v>
      </c>
      <c r="G4247" s="9">
        <v>1232</v>
      </c>
      <c r="H4247" s="5" t="s">
        <v>20</v>
      </c>
      <c r="I4247" s="5" t="s">
        <v>9888</v>
      </c>
      <c r="J4247" s="12" t="str">
        <f>HYPERLINK("https://www.boe.es/gazeta/dias/1807/11/27/pdfs/GMD-1807-106.pdf#page=4","Abrir facsímil")</f>
        <v>Abrir facsímil</v>
      </c>
      <c r="K4247" s="15" t="s">
        <v>22</v>
      </c>
    </row>
    <row r="4248" spans="1:11" ht="42" customHeight="1">
      <c r="A4248" s="4" t="s">
        <v>9889</v>
      </c>
      <c r="B4248" s="5" t="s">
        <v>9889</v>
      </c>
      <c r="C4248" s="5" t="s">
        <v>34</v>
      </c>
      <c r="D4248" s="5" t="s">
        <v>35</v>
      </c>
      <c r="E4248" s="5" t="s">
        <v>447</v>
      </c>
      <c r="F4248" s="9">
        <v>65</v>
      </c>
      <c r="G4248" s="9">
        <v>762</v>
      </c>
      <c r="H4248" s="5" t="s">
        <v>20</v>
      </c>
      <c r="I4248" s="5" t="s">
        <v>9890</v>
      </c>
      <c r="J4248" s="12" t="str">
        <f>HYPERLINK("https://www.boe.es/gazeta/dias/1807/07/24/pdfs/GMD-1807-65.pdf#page=12","Abrir facsímil")</f>
        <v>Abrir facsímil</v>
      </c>
      <c r="K4248" s="15" t="s">
        <v>22</v>
      </c>
    </row>
    <row r="4249" spans="1:11" ht="42" customHeight="1">
      <c r="A4249" s="4" t="s">
        <v>9891</v>
      </c>
      <c r="B4249" s="5" t="s">
        <v>9891</v>
      </c>
      <c r="C4249" s="5" t="s">
        <v>28</v>
      </c>
      <c r="D4249" s="5" t="s">
        <v>29</v>
      </c>
      <c r="E4249" s="5" t="s">
        <v>305</v>
      </c>
      <c r="F4249" s="9">
        <v>53</v>
      </c>
      <c r="G4249" s="9">
        <v>637</v>
      </c>
      <c r="H4249" s="5" t="s">
        <v>20</v>
      </c>
      <c r="I4249" s="5" t="s">
        <v>9892</v>
      </c>
      <c r="J4249" s="12" t="str">
        <f>HYPERLINK("https://www.boe.es/gazeta/dias/1807/06/23/pdfs/GMD-1807-53.pdf#page=11","Abrir facsímil")</f>
        <v>Abrir facsímil</v>
      </c>
      <c r="K4249" s="15" t="s">
        <v>22</v>
      </c>
    </row>
    <row r="4250" spans="1:11" ht="42" customHeight="1">
      <c r="A4250" s="4" t="s">
        <v>9893</v>
      </c>
      <c r="B4250" s="5" t="s">
        <v>9894</v>
      </c>
      <c r="C4250" s="5" t="s">
        <v>28</v>
      </c>
      <c r="D4250" s="5" t="s">
        <v>29</v>
      </c>
      <c r="E4250" s="5" t="s">
        <v>245</v>
      </c>
      <c r="F4250" s="9">
        <v>97</v>
      </c>
      <c r="G4250" s="9">
        <v>1132</v>
      </c>
      <c r="H4250" s="5" t="s">
        <v>20</v>
      </c>
      <c r="I4250" s="5" t="s">
        <v>9895</v>
      </c>
      <c r="J4250" s="12" t="str">
        <f>HYPERLINK("https://www.boe.es/gazeta/dias/1807/10/30/pdfs/GMD-1807-97.pdf#page=12","Abrir facsímil")</f>
        <v>Abrir facsímil</v>
      </c>
      <c r="K4250" s="15" t="s">
        <v>22</v>
      </c>
    </row>
    <row r="4251" spans="1:11" ht="42" customHeight="1">
      <c r="A4251" s="4" t="s">
        <v>9896</v>
      </c>
      <c r="B4251" s="5" t="s">
        <v>9897</v>
      </c>
      <c r="C4251" s="5" t="s">
        <v>28</v>
      </c>
      <c r="D4251" s="5" t="s">
        <v>29</v>
      </c>
      <c r="E4251" s="5" t="s">
        <v>464</v>
      </c>
      <c r="F4251" s="9">
        <v>18</v>
      </c>
      <c r="G4251" s="9">
        <v>216</v>
      </c>
      <c r="H4251" s="5" t="s">
        <v>20</v>
      </c>
      <c r="I4251" s="5" t="s">
        <v>9898</v>
      </c>
      <c r="J4251" s="12" t="str">
        <f>HYPERLINK("https://www.boe.es/gazeta/dias/1807/02/24/pdfs/GMD-1807-18.pdf#page=16","Abrir facsímil")</f>
        <v>Abrir facsímil</v>
      </c>
      <c r="K4251" s="15" t="s">
        <v>22</v>
      </c>
    </row>
    <row r="4252" spans="1:11" ht="42" customHeight="1">
      <c r="A4252" s="4" t="s">
        <v>9899</v>
      </c>
      <c r="B4252" s="5" t="s">
        <v>9900</v>
      </c>
      <c r="C4252" s="5" t="s">
        <v>89</v>
      </c>
      <c r="D4252" s="5" t="s">
        <v>90</v>
      </c>
      <c r="E4252" s="5" t="s">
        <v>190</v>
      </c>
      <c r="F4252" s="9">
        <v>37</v>
      </c>
      <c r="G4252" s="9">
        <v>444</v>
      </c>
      <c r="H4252" s="5" t="s">
        <v>20</v>
      </c>
      <c r="I4252" s="5" t="s">
        <v>9901</v>
      </c>
      <c r="J4252" s="12" t="str">
        <f>HYPERLINK("https://www.boe.es/gazeta/dias/1807/04/28/pdfs/GMD-1807-37.pdf#page=12","Abrir facsímil")</f>
        <v>Abrir facsímil</v>
      </c>
      <c r="K4252" s="15" t="s">
        <v>22</v>
      </c>
    </row>
    <row r="4253" spans="1:11" ht="42" customHeight="1">
      <c r="A4253" s="4" t="s">
        <v>9899</v>
      </c>
      <c r="B4253" s="5" t="s">
        <v>9900</v>
      </c>
      <c r="C4253" s="5" t="s">
        <v>89</v>
      </c>
      <c r="D4253" s="5" t="s">
        <v>90</v>
      </c>
      <c r="E4253" s="5" t="s">
        <v>654</v>
      </c>
      <c r="F4253" s="9">
        <v>94</v>
      </c>
      <c r="G4253" s="9">
        <v>1096</v>
      </c>
      <c r="H4253" s="5" t="s">
        <v>20</v>
      </c>
      <c r="I4253" s="5" t="s">
        <v>9902</v>
      </c>
      <c r="J4253" s="12" t="str">
        <f>HYPERLINK("https://www.boe.es/gazeta/dias/1807/10/20/pdfs/GMD-1807-94.pdf#page=12","Abrir facsímil")</f>
        <v>Abrir facsímil</v>
      </c>
      <c r="K4253" s="15" t="s">
        <v>22</v>
      </c>
    </row>
    <row r="4254" spans="1:11" ht="42" customHeight="1">
      <c r="A4254" s="4" t="s">
        <v>9903</v>
      </c>
      <c r="B4254" s="5" t="s">
        <v>9904</v>
      </c>
      <c r="C4254" s="5" t="s">
        <v>89</v>
      </c>
      <c r="D4254" s="5" t="s">
        <v>90</v>
      </c>
      <c r="E4254" s="5" t="s">
        <v>461</v>
      </c>
      <c r="F4254" s="9">
        <v>99</v>
      </c>
      <c r="G4254" s="9">
        <v>1153</v>
      </c>
      <c r="H4254" s="5" t="s">
        <v>20</v>
      </c>
      <c r="I4254" s="5" t="s">
        <v>9905</v>
      </c>
      <c r="J4254" s="12" t="str">
        <f>HYPERLINK("https://www.boe.es/gazeta/dias/1807/11/06/pdfs/GMD-1807-99.pdf#page=9","Abrir facsímil")</f>
        <v>Abrir facsímil</v>
      </c>
      <c r="K4254" s="15" t="s">
        <v>22</v>
      </c>
    </row>
    <row r="4255" spans="1:11" ht="42" customHeight="1">
      <c r="A4255" s="4" t="s">
        <v>9906</v>
      </c>
      <c r="B4255" s="5" t="s">
        <v>9907</v>
      </c>
      <c r="C4255" s="5" t="s">
        <v>89</v>
      </c>
      <c r="D4255" s="5" t="s">
        <v>90</v>
      </c>
      <c r="E4255" s="5" t="s">
        <v>346</v>
      </c>
      <c r="F4255" s="9">
        <v>21</v>
      </c>
      <c r="G4255" s="9">
        <v>248</v>
      </c>
      <c r="H4255" s="5" t="s">
        <v>20</v>
      </c>
      <c r="I4255" s="5" t="s">
        <v>9908</v>
      </c>
      <c r="J4255" s="12" t="str">
        <f>HYPERLINK("https://www.boe.es/gazeta/dias/1807/03/03/pdfs/GMD-1807-21.pdf#page=12","Abrir facsímil")</f>
        <v>Abrir facsímil</v>
      </c>
      <c r="K4255" s="15" t="s">
        <v>22</v>
      </c>
    </row>
    <row r="4256" spans="1:11" ht="42" customHeight="1">
      <c r="A4256" s="4" t="s">
        <v>9906</v>
      </c>
      <c r="B4256" s="5" t="s">
        <v>9907</v>
      </c>
      <c r="C4256" s="5" t="s">
        <v>89</v>
      </c>
      <c r="D4256" s="5" t="s">
        <v>90</v>
      </c>
      <c r="E4256" s="5" t="s">
        <v>581</v>
      </c>
      <c r="F4256" s="9">
        <v>71</v>
      </c>
      <c r="G4256" s="9">
        <v>820</v>
      </c>
      <c r="H4256" s="5" t="s">
        <v>20</v>
      </c>
      <c r="I4256" s="5" t="s">
        <v>9909</v>
      </c>
      <c r="J4256" s="12" t="str">
        <f>HYPERLINK("https://www.boe.es/gazeta/dias/1807/08/07/pdfs/GMD-1807-71.pdf#page=12","Abrir facsímil")</f>
        <v>Abrir facsímil</v>
      </c>
      <c r="K4256" s="15" t="s">
        <v>22</v>
      </c>
    </row>
    <row r="4257" spans="1:11" ht="42" customHeight="1">
      <c r="A4257" s="4" t="s">
        <v>9910</v>
      </c>
      <c r="B4257" s="5" t="s">
        <v>9911</v>
      </c>
      <c r="C4257" s="5" t="s">
        <v>89</v>
      </c>
      <c r="D4257" s="5" t="s">
        <v>90</v>
      </c>
      <c r="E4257" s="5" t="s">
        <v>219</v>
      </c>
      <c r="F4257" s="9">
        <v>56</v>
      </c>
      <c r="G4257" s="9">
        <v>672</v>
      </c>
      <c r="H4257" s="5" t="s">
        <v>20</v>
      </c>
      <c r="I4257" s="5" t="s">
        <v>9912</v>
      </c>
      <c r="J4257" s="12" t="str">
        <f>HYPERLINK("https://www.boe.es/gazeta/dias/1807/07/03/pdfs/GMD-1807-56.pdf#page=10","Abrir facsímil")</f>
        <v>Abrir facsímil</v>
      </c>
      <c r="K4257" s="15" t="s">
        <v>22</v>
      </c>
    </row>
    <row r="4258" spans="1:11" ht="42" customHeight="1">
      <c r="A4258" s="4" t="s">
        <v>9910</v>
      </c>
      <c r="B4258" s="5" t="s">
        <v>9911</v>
      </c>
      <c r="C4258" s="5" t="s">
        <v>24</v>
      </c>
      <c r="D4258" s="5" t="s">
        <v>18</v>
      </c>
      <c r="E4258" s="5" t="s">
        <v>127</v>
      </c>
      <c r="F4258" s="9">
        <v>81</v>
      </c>
      <c r="G4258" s="9">
        <v>947</v>
      </c>
      <c r="H4258" s="5" t="s">
        <v>20</v>
      </c>
      <c r="I4258" s="5" t="s">
        <v>9913</v>
      </c>
      <c r="J4258" s="12" t="str">
        <f>HYPERLINK("https://www.boe.es/gazeta/dias/1807/09/11/pdfs/GMD-1807-81.pdf#page=11","Abrir facsímil")</f>
        <v>Abrir facsímil</v>
      </c>
      <c r="K4258" s="15" t="s">
        <v>22</v>
      </c>
    </row>
    <row r="4259" spans="1:11" ht="42" customHeight="1">
      <c r="A4259" s="4" t="s">
        <v>9910</v>
      </c>
      <c r="B4259" s="5" t="s">
        <v>9911</v>
      </c>
      <c r="C4259" s="5" t="s">
        <v>24</v>
      </c>
      <c r="D4259" s="5" t="s">
        <v>18</v>
      </c>
      <c r="E4259" s="5" t="s">
        <v>111</v>
      </c>
      <c r="F4259" s="9">
        <v>90</v>
      </c>
      <c r="G4259" s="9">
        <v>1047</v>
      </c>
      <c r="H4259" s="5" t="s">
        <v>20</v>
      </c>
      <c r="I4259" s="5" t="s">
        <v>9914</v>
      </c>
      <c r="J4259" s="12" t="str">
        <f>HYPERLINK("https://www.boe.es/gazeta/dias/1807/10/06/pdfs/GMD-1807-90.pdf#page=15","Abrir facsímil")</f>
        <v>Abrir facsímil</v>
      </c>
      <c r="K4259" s="15" t="s">
        <v>22</v>
      </c>
    </row>
    <row r="4260" spans="1:11" ht="42" customHeight="1">
      <c r="A4260" s="4" t="s">
        <v>9910</v>
      </c>
      <c r="B4260" s="5" t="s">
        <v>9911</v>
      </c>
      <c r="C4260" s="5" t="s">
        <v>34</v>
      </c>
      <c r="D4260" s="5" t="s">
        <v>35</v>
      </c>
      <c r="E4260" s="5" t="s">
        <v>179</v>
      </c>
      <c r="F4260" s="9">
        <v>100</v>
      </c>
      <c r="G4260" s="9">
        <v>1165</v>
      </c>
      <c r="H4260" s="5" t="s">
        <v>20</v>
      </c>
      <c r="I4260" s="5" t="s">
        <v>9915</v>
      </c>
      <c r="J4260" s="12" t="str">
        <f>HYPERLINK("https://www.boe.es/gazeta/dias/1807/11/10/pdfs/GMD-1807-100.pdf#page=9","Abrir facsímil")</f>
        <v>Abrir facsímil</v>
      </c>
      <c r="K4260" s="15" t="s">
        <v>22</v>
      </c>
    </row>
    <row r="4261" spans="1:11" ht="42" customHeight="1">
      <c r="A4261" s="4" t="s">
        <v>9916</v>
      </c>
      <c r="B4261" s="5" t="s">
        <v>9917</v>
      </c>
      <c r="C4261" s="5" t="s">
        <v>17</v>
      </c>
      <c r="D4261" s="5" t="s">
        <v>18</v>
      </c>
      <c r="E4261" s="5" t="s">
        <v>76</v>
      </c>
      <c r="F4261" s="9">
        <v>7</v>
      </c>
      <c r="G4261" s="9">
        <v>74</v>
      </c>
      <c r="H4261" s="5" t="s">
        <v>20</v>
      </c>
      <c r="I4261" s="5" t="s">
        <v>9918</v>
      </c>
      <c r="J4261" s="12" t="str">
        <f>HYPERLINK("https://www.boe.es/gazeta/dias/1807/01/20/pdfs/GMD-1807-7.pdf#page=6","Abrir facsímil")</f>
        <v>Abrir facsímil</v>
      </c>
      <c r="K4261" s="15" t="s">
        <v>22</v>
      </c>
    </row>
    <row r="4262" spans="1:11" ht="42" customHeight="1">
      <c r="A4262" s="4" t="s">
        <v>9919</v>
      </c>
      <c r="B4262" s="5" t="s">
        <v>9920</v>
      </c>
      <c r="C4262" s="5" t="s">
        <v>17</v>
      </c>
      <c r="D4262" s="5" t="s">
        <v>18</v>
      </c>
      <c r="E4262" s="5" t="s">
        <v>406</v>
      </c>
      <c r="F4262" s="9">
        <v>82</v>
      </c>
      <c r="G4262" s="9">
        <v>956</v>
      </c>
      <c r="H4262" s="5" t="s">
        <v>20</v>
      </c>
      <c r="I4262" s="5" t="s">
        <v>9921</v>
      </c>
      <c r="J4262" s="12" t="str">
        <f>HYPERLINK("https://www.boe.es/gazeta/dias/1807/09/15/pdfs/GMD-1807-82.pdf#page=8","Abrir facsímil")</f>
        <v>Abrir facsímil</v>
      </c>
      <c r="K4262" s="15" t="s">
        <v>22</v>
      </c>
    </row>
    <row r="4263" spans="1:11" ht="42" customHeight="1">
      <c r="A4263" s="4" t="s">
        <v>9919</v>
      </c>
      <c r="B4263" s="5" t="s">
        <v>9920</v>
      </c>
      <c r="C4263" s="5" t="s">
        <v>34</v>
      </c>
      <c r="D4263" s="5" t="s">
        <v>35</v>
      </c>
      <c r="E4263" s="5" t="s">
        <v>179</v>
      </c>
      <c r="F4263" s="9">
        <v>100</v>
      </c>
      <c r="G4263" s="9">
        <v>1164</v>
      </c>
      <c r="H4263" s="5" t="s">
        <v>20</v>
      </c>
      <c r="I4263" s="5" t="s">
        <v>9922</v>
      </c>
      <c r="J4263" s="12" t="str">
        <f>HYPERLINK("https://www.boe.es/gazeta/dias/1807/11/10/pdfs/GMD-1807-100.pdf#page=8","Abrir facsímil")</f>
        <v>Abrir facsímil</v>
      </c>
      <c r="K4263" s="15" t="s">
        <v>22</v>
      </c>
    </row>
    <row r="4264" spans="1:11" ht="42" customHeight="1">
      <c r="A4264" s="4" t="s">
        <v>9923</v>
      </c>
      <c r="B4264" s="5" t="s">
        <v>9924</v>
      </c>
      <c r="C4264" s="5" t="s">
        <v>17</v>
      </c>
      <c r="D4264" s="5" t="s">
        <v>18</v>
      </c>
      <c r="E4264" s="5" t="s">
        <v>414</v>
      </c>
      <c r="F4264" s="9">
        <v>40</v>
      </c>
      <c r="G4264" s="9">
        <v>481</v>
      </c>
      <c r="H4264" s="5" t="s">
        <v>20</v>
      </c>
      <c r="I4264" s="5" t="s">
        <v>9925</v>
      </c>
      <c r="J4264" s="12" t="str">
        <f>HYPERLINK("https://www.boe.es/gazeta/dias/1807/05/08/pdfs/GMD-1807-40.pdf#page=11","Abrir facsímil")</f>
        <v>Abrir facsímil</v>
      </c>
      <c r="K4264" s="15" t="s">
        <v>22</v>
      </c>
    </row>
    <row r="4265" spans="1:11" ht="42" customHeight="1">
      <c r="A4265" s="4" t="s">
        <v>9926</v>
      </c>
      <c r="B4265" s="5" t="s">
        <v>9927</v>
      </c>
      <c r="C4265" s="5" t="s">
        <v>34</v>
      </c>
      <c r="D4265" s="5" t="s">
        <v>35</v>
      </c>
      <c r="E4265" s="5" t="s">
        <v>94</v>
      </c>
      <c r="F4265" s="9">
        <v>22</v>
      </c>
      <c r="G4265" s="9">
        <v>255</v>
      </c>
      <c r="H4265" s="5" t="s">
        <v>20</v>
      </c>
      <c r="I4265" s="5" t="s">
        <v>9928</v>
      </c>
      <c r="J4265" s="12" t="str">
        <f>HYPERLINK("https://www.boe.es/gazeta/dias/1807/03/06/pdfs/GMD-1807-22.pdf#page=7","Abrir facsímil")</f>
        <v>Abrir facsímil</v>
      </c>
      <c r="K4265" s="15" t="s">
        <v>22</v>
      </c>
    </row>
    <row r="4266" spans="1:11" ht="42" customHeight="1">
      <c r="A4266" s="4" t="s">
        <v>9929</v>
      </c>
      <c r="B4266" s="5" t="s">
        <v>9930</v>
      </c>
      <c r="C4266" s="5" t="s">
        <v>24</v>
      </c>
      <c r="D4266" s="5" t="s">
        <v>18</v>
      </c>
      <c r="E4266" s="5" t="s">
        <v>686</v>
      </c>
      <c r="F4266" s="9">
        <v>106</v>
      </c>
      <c r="G4266" s="9">
        <v>1239</v>
      </c>
      <c r="H4266" s="5" t="s">
        <v>20</v>
      </c>
      <c r="I4266" s="5" t="s">
        <v>9931</v>
      </c>
      <c r="J4266" s="12" t="str">
        <f>HYPERLINK("https://www.boe.es/gazeta/dias/1807/11/27/pdfs/GMD-1807-106.pdf#page=11","Abrir facsímil")</f>
        <v>Abrir facsímil</v>
      </c>
      <c r="K4266" s="15" t="s">
        <v>22</v>
      </c>
    </row>
    <row r="4267" spans="1:11" ht="42" customHeight="1">
      <c r="A4267" s="4" t="s">
        <v>9932</v>
      </c>
      <c r="B4267" s="5" t="s">
        <v>9933</v>
      </c>
      <c r="C4267" s="5" t="s">
        <v>24</v>
      </c>
      <c r="D4267" s="5" t="s">
        <v>18</v>
      </c>
      <c r="E4267" s="5" t="s">
        <v>418</v>
      </c>
      <c r="F4267" s="9">
        <v>4</v>
      </c>
      <c r="G4267" s="9">
        <v>39</v>
      </c>
      <c r="H4267" s="5" t="s">
        <v>20</v>
      </c>
      <c r="I4267" s="5" t="s">
        <v>9934</v>
      </c>
      <c r="J4267" s="12" t="str">
        <f>HYPERLINK("https://www.boe.es/gazeta/dias/1807/01/13/pdfs/GMD-1807-4.pdf#page=7","Abrir facsímil")</f>
        <v>Abrir facsímil</v>
      </c>
      <c r="K4267" s="15" t="s">
        <v>22</v>
      </c>
    </row>
    <row r="4268" spans="1:11" ht="42" customHeight="1">
      <c r="A4268" s="4" t="s">
        <v>9935</v>
      </c>
      <c r="B4268" s="5" t="s">
        <v>9936</v>
      </c>
      <c r="C4268" s="5" t="s">
        <v>34</v>
      </c>
      <c r="D4268" s="5" t="s">
        <v>35</v>
      </c>
      <c r="E4268" s="5" t="s">
        <v>666</v>
      </c>
      <c r="F4268" s="9">
        <v>43</v>
      </c>
      <c r="G4268" s="9">
        <v>515</v>
      </c>
      <c r="H4268" s="5" t="s">
        <v>20</v>
      </c>
      <c r="I4268" s="5" t="s">
        <v>9937</v>
      </c>
      <c r="J4268" s="12" t="str">
        <f>HYPERLINK("https://www.boe.es/gazeta/dias/1807/05/19/pdfs/GMD-1807-43.pdf#page=9","Abrir facsímil")</f>
        <v>Abrir facsímil</v>
      </c>
      <c r="K4268" s="15" t="s">
        <v>22</v>
      </c>
    </row>
    <row r="4269" spans="1:11" ht="42" customHeight="1">
      <c r="A4269" s="4" t="s">
        <v>9938</v>
      </c>
      <c r="B4269" s="5" t="s">
        <v>9939</v>
      </c>
      <c r="C4269" s="5" t="s">
        <v>34</v>
      </c>
      <c r="D4269" s="5" t="s">
        <v>35</v>
      </c>
      <c r="E4269" s="5" t="s">
        <v>567</v>
      </c>
      <c r="F4269" s="9">
        <v>55</v>
      </c>
      <c r="G4269" s="9">
        <v>659</v>
      </c>
      <c r="H4269" s="5" t="s">
        <v>20</v>
      </c>
      <c r="I4269" s="5" t="s">
        <v>9940</v>
      </c>
      <c r="J4269" s="12" t="str">
        <f>HYPERLINK("https://www.boe.es/gazeta/dias/1807/06/30/pdfs/GMD-1807-55.pdf#page=9","Abrir facsímil")</f>
        <v>Abrir facsímil</v>
      </c>
      <c r="K4269" s="15" t="s">
        <v>22</v>
      </c>
    </row>
    <row r="4270" spans="1:11" ht="42" customHeight="1">
      <c r="A4270" s="4" t="s">
        <v>9941</v>
      </c>
      <c r="B4270" s="5" t="s">
        <v>9942</v>
      </c>
      <c r="C4270" s="5" t="s">
        <v>34</v>
      </c>
      <c r="D4270" s="5" t="s">
        <v>35</v>
      </c>
      <c r="E4270" s="5" t="s">
        <v>183</v>
      </c>
      <c r="F4270" s="9">
        <v>1</v>
      </c>
      <c r="G4270" s="9">
        <v>11</v>
      </c>
      <c r="H4270" s="5" t="s">
        <v>20</v>
      </c>
      <c r="I4270" s="5" t="s">
        <v>9943</v>
      </c>
      <c r="J4270" s="12" t="str">
        <f>HYPERLINK("https://www.boe.es/gazeta/dias/1807/01/02/pdfs/GMD-1807-1.pdf#page=11","Abrir facsímil")</f>
        <v>Abrir facsímil</v>
      </c>
      <c r="K4270" s="15" t="s">
        <v>22</v>
      </c>
    </row>
    <row r="4271" spans="1:11" ht="42" customHeight="1">
      <c r="A4271" s="4" t="s">
        <v>9944</v>
      </c>
      <c r="B4271" s="5" t="s">
        <v>9945</v>
      </c>
      <c r="C4271" s="5" t="s">
        <v>34</v>
      </c>
      <c r="D4271" s="5" t="s">
        <v>35</v>
      </c>
      <c r="E4271" s="5" t="s">
        <v>40</v>
      </c>
      <c r="F4271" s="9">
        <v>26</v>
      </c>
      <c r="G4271" s="9">
        <v>313</v>
      </c>
      <c r="H4271" s="5" t="s">
        <v>20</v>
      </c>
      <c r="I4271" s="5" t="s">
        <v>9946</v>
      </c>
      <c r="J4271" s="12" t="str">
        <f>HYPERLINK("https://www.boe.es/gazeta/dias/1807/03/20/pdfs/GMD-1807-26.pdf#page=9","Abrir facsímil")</f>
        <v>Abrir facsímil</v>
      </c>
      <c r="K4271" s="15" t="s">
        <v>22</v>
      </c>
    </row>
    <row r="4272" spans="1:11" ht="42" customHeight="1">
      <c r="A4272" s="4" t="s">
        <v>9947</v>
      </c>
      <c r="B4272" s="5" t="s">
        <v>9948</v>
      </c>
      <c r="C4272" s="5" t="s">
        <v>89</v>
      </c>
      <c r="D4272" s="5" t="s">
        <v>90</v>
      </c>
      <c r="E4272" s="5" t="s">
        <v>42</v>
      </c>
      <c r="F4272" s="9">
        <v>31</v>
      </c>
      <c r="G4272" s="9">
        <v>369</v>
      </c>
      <c r="H4272" s="5" t="s">
        <v>20</v>
      </c>
      <c r="I4272" s="5" t="s">
        <v>9949</v>
      </c>
      <c r="J4272" s="12" t="str">
        <f>HYPERLINK("https://www.boe.es/gazeta/dias/1807/04/07/pdfs/GMD-1807-31.pdf#page=9","Abrir facsímil")</f>
        <v>Abrir facsímil</v>
      </c>
      <c r="K4272" s="15" t="s">
        <v>22</v>
      </c>
    </row>
    <row r="4273" spans="1:11" ht="42" customHeight="1">
      <c r="A4273" s="4" t="s">
        <v>9947</v>
      </c>
      <c r="B4273" s="5" t="s">
        <v>9948</v>
      </c>
      <c r="C4273" s="5" t="s">
        <v>89</v>
      </c>
      <c r="D4273" s="5" t="s">
        <v>90</v>
      </c>
      <c r="E4273" s="5" t="s">
        <v>179</v>
      </c>
      <c r="F4273" s="9">
        <v>100</v>
      </c>
      <c r="G4273" s="9">
        <v>1167</v>
      </c>
      <c r="H4273" s="5" t="s">
        <v>20</v>
      </c>
      <c r="I4273" s="5" t="s">
        <v>9950</v>
      </c>
      <c r="J4273" s="12" t="str">
        <f>HYPERLINK("https://www.boe.es/gazeta/dias/1807/11/10/pdfs/GMD-1807-100.pdf#page=11","Abrir facsímil")</f>
        <v>Abrir facsímil</v>
      </c>
      <c r="K4273" s="15" t="s">
        <v>22</v>
      </c>
    </row>
    <row r="4274" spans="1:11" ht="42" customHeight="1">
      <c r="A4274" s="4" t="s">
        <v>9951</v>
      </c>
      <c r="B4274" s="5" t="s">
        <v>9952</v>
      </c>
      <c r="C4274" s="5" t="s">
        <v>28</v>
      </c>
      <c r="D4274" s="5" t="s">
        <v>29</v>
      </c>
      <c r="E4274" s="5" t="s">
        <v>101</v>
      </c>
      <c r="F4274" s="9">
        <v>23</v>
      </c>
      <c r="G4274" s="9">
        <v>271</v>
      </c>
      <c r="H4274" s="5" t="s">
        <v>20</v>
      </c>
      <c r="I4274" s="5" t="s">
        <v>9953</v>
      </c>
      <c r="J4274" s="12" t="str">
        <f>HYPERLINK("https://www.boe.es/gazeta/dias/1807/03/10/pdfs/GMD-1807-23.pdf#page=11","Abrir facsímil")</f>
        <v>Abrir facsímil</v>
      </c>
      <c r="K4274" s="15" t="s">
        <v>22</v>
      </c>
    </row>
    <row r="4275" spans="1:11" ht="42" customHeight="1">
      <c r="A4275" s="4" t="s">
        <v>9954</v>
      </c>
      <c r="B4275" s="5" t="s">
        <v>9955</v>
      </c>
      <c r="C4275" s="5" t="s">
        <v>69</v>
      </c>
      <c r="D4275" s="5" t="s">
        <v>70</v>
      </c>
      <c r="E4275" s="5" t="s">
        <v>71</v>
      </c>
      <c r="F4275" s="9">
        <v>35</v>
      </c>
      <c r="G4275" s="9" t="s">
        <v>197</v>
      </c>
      <c r="H4275" s="5" t="s">
        <v>20</v>
      </c>
      <c r="I4275" s="5" t="s">
        <v>9956</v>
      </c>
      <c r="J4275" s="12" t="str">
        <f>HYPERLINK("https://www.boe.es/gazeta/dias/1807/04/21/pdfs/C00001-00004.pdf#page=3","Abrir facsímil")</f>
        <v>Abrir facsímil</v>
      </c>
      <c r="K4275" s="15" t="s">
        <v>22</v>
      </c>
    </row>
    <row r="4276" spans="1:11" ht="42" customHeight="1">
      <c r="A4276" s="4" t="s">
        <v>9957</v>
      </c>
      <c r="B4276" s="5" t="s">
        <v>9958</v>
      </c>
      <c r="C4276" s="5" t="s">
        <v>34</v>
      </c>
      <c r="D4276" s="5" t="s">
        <v>35</v>
      </c>
      <c r="E4276" s="5" t="s">
        <v>98</v>
      </c>
      <c r="F4276" s="9">
        <v>34</v>
      </c>
      <c r="G4276" s="9">
        <v>405</v>
      </c>
      <c r="H4276" s="5" t="s">
        <v>20</v>
      </c>
      <c r="I4276" s="5" t="s">
        <v>9959</v>
      </c>
      <c r="J4276" s="12" t="str">
        <f>HYPERLINK("https://www.boe.es/gazeta/dias/1807/04/17/pdfs/GMD-1807-34.pdf#page=9","Abrir facsímil")</f>
        <v>Abrir facsímil</v>
      </c>
      <c r="K4276" s="15" t="s">
        <v>22</v>
      </c>
    </row>
    <row r="4277" spans="1:11" ht="42" customHeight="1">
      <c r="A4277" s="4" t="s">
        <v>9960</v>
      </c>
      <c r="B4277" s="5" t="s">
        <v>9961</v>
      </c>
      <c r="C4277" s="5" t="s">
        <v>28</v>
      </c>
      <c r="D4277" s="5" t="s">
        <v>29</v>
      </c>
      <c r="E4277" s="5" t="s">
        <v>530</v>
      </c>
      <c r="F4277" s="9">
        <v>79</v>
      </c>
      <c r="G4277" s="9">
        <v>919</v>
      </c>
      <c r="H4277" s="5" t="s">
        <v>20</v>
      </c>
      <c r="I4277" s="5" t="s">
        <v>9962</v>
      </c>
      <c r="J4277" s="12" t="str">
        <f>HYPERLINK("https://www.boe.es/gazeta/dias/1807/09/04/pdfs/GMD-1807-79.pdf#page=11","Abrir facsímil")</f>
        <v>Abrir facsímil</v>
      </c>
      <c r="K4277" s="15" t="s">
        <v>22</v>
      </c>
    </row>
    <row r="4278" spans="1:11" ht="42" customHeight="1">
      <c r="A4278" s="4" t="s">
        <v>9960</v>
      </c>
      <c r="B4278" s="5" t="s">
        <v>9961</v>
      </c>
      <c r="C4278" s="5" t="s">
        <v>28</v>
      </c>
      <c r="D4278" s="5" t="s">
        <v>29</v>
      </c>
      <c r="E4278" s="5" t="s">
        <v>530</v>
      </c>
      <c r="F4278" s="9">
        <v>79</v>
      </c>
      <c r="G4278" s="9">
        <v>920</v>
      </c>
      <c r="H4278" s="5" t="s">
        <v>20</v>
      </c>
      <c r="I4278" s="5" t="s">
        <v>9963</v>
      </c>
      <c r="J4278" s="12" t="str">
        <f>HYPERLINK("https://www.boe.es/gazeta/dias/1807/09/04/pdfs/GMD-1807-79.pdf#page=12","Abrir facsímil")</f>
        <v>Abrir facsímil</v>
      </c>
      <c r="K4278" s="15" t="s">
        <v>22</v>
      </c>
    </row>
    <row r="4279" spans="1:11" ht="42" customHeight="1">
      <c r="A4279" s="4" t="s">
        <v>9964</v>
      </c>
      <c r="B4279" s="5" t="s">
        <v>9965</v>
      </c>
      <c r="C4279" s="5" t="s">
        <v>24</v>
      </c>
      <c r="D4279" s="5" t="s">
        <v>18</v>
      </c>
      <c r="E4279" s="5" t="s">
        <v>2914</v>
      </c>
      <c r="F4279" s="9">
        <v>29</v>
      </c>
      <c r="G4279" s="9">
        <v>346</v>
      </c>
      <c r="H4279" s="5" t="s">
        <v>20</v>
      </c>
      <c r="I4279" s="5" t="s">
        <v>9966</v>
      </c>
      <c r="J4279" s="12" t="str">
        <f>HYPERLINK("https://www.boe.es/gazeta/dias/1807/03/31/pdfs/GMD-1807-29.pdf#page=10","Abrir facsímil")</f>
        <v>Abrir facsímil</v>
      </c>
      <c r="K4279" s="15" t="s">
        <v>22</v>
      </c>
    </row>
    <row r="4280" spans="1:11" ht="42" customHeight="1">
      <c r="A4280" s="4" t="s">
        <v>9967</v>
      </c>
      <c r="B4280" s="5" t="s">
        <v>9968</v>
      </c>
      <c r="C4280" s="5" t="s">
        <v>34</v>
      </c>
      <c r="D4280" s="5" t="s">
        <v>35</v>
      </c>
      <c r="E4280" s="5" t="s">
        <v>1354</v>
      </c>
      <c r="F4280" s="9">
        <v>83</v>
      </c>
      <c r="G4280" s="9">
        <v>969</v>
      </c>
      <c r="H4280" s="5" t="s">
        <v>20</v>
      </c>
      <c r="I4280" s="5" t="s">
        <v>9969</v>
      </c>
      <c r="J4280" s="12" t="str">
        <f>HYPERLINK("https://www.boe.es/gazeta/dias/1807/09/18/pdfs/GMD-1807-83.pdf#page=9","Abrir facsímil")</f>
        <v>Abrir facsímil</v>
      </c>
      <c r="K4280" s="15" t="s">
        <v>22</v>
      </c>
    </row>
    <row r="4281" spans="1:11" ht="42" customHeight="1">
      <c r="A4281" s="4" t="s">
        <v>9970</v>
      </c>
      <c r="B4281" s="5" t="s">
        <v>9971</v>
      </c>
      <c r="C4281" s="5" t="s">
        <v>34</v>
      </c>
      <c r="D4281" s="5" t="s">
        <v>35</v>
      </c>
      <c r="E4281" s="5" t="s">
        <v>152</v>
      </c>
      <c r="F4281" s="9">
        <v>61</v>
      </c>
      <c r="G4281" s="9">
        <v>720</v>
      </c>
      <c r="H4281" s="5" t="s">
        <v>20</v>
      </c>
      <c r="I4281" s="5" t="s">
        <v>9972</v>
      </c>
      <c r="J4281" s="12" t="str">
        <f>HYPERLINK("https://www.boe.es/gazeta/dias/1807/07/14/pdfs/GMD-1807-61.pdf#page=6","Abrir facsímil")</f>
        <v>Abrir facsímil</v>
      </c>
      <c r="K4281" s="15" t="s">
        <v>22</v>
      </c>
    </row>
    <row r="4282" spans="1:11" ht="42" customHeight="1">
      <c r="A4282" s="4" t="s">
        <v>9973</v>
      </c>
      <c r="B4282" s="5" t="s">
        <v>9974</v>
      </c>
      <c r="C4282" s="5" t="s">
        <v>17</v>
      </c>
      <c r="D4282" s="5" t="s">
        <v>18</v>
      </c>
      <c r="E4282" s="5" t="s">
        <v>305</v>
      </c>
      <c r="F4282" s="9">
        <v>53</v>
      </c>
      <c r="G4282" s="9">
        <v>634</v>
      </c>
      <c r="H4282" s="5" t="s">
        <v>20</v>
      </c>
      <c r="I4282" s="5" t="s">
        <v>9975</v>
      </c>
      <c r="J4282" s="12" t="str">
        <f>HYPERLINK("https://www.boe.es/gazeta/dias/1807/06/23/pdfs/GMD-1807-53.pdf#page=8","Abrir facsímil")</f>
        <v>Abrir facsímil</v>
      </c>
      <c r="K4282" s="15" t="s">
        <v>22</v>
      </c>
    </row>
    <row r="4283" spans="1:11" ht="42" customHeight="1">
      <c r="A4283" s="4" t="s">
        <v>9976</v>
      </c>
      <c r="B4283" s="5" t="s">
        <v>9977</v>
      </c>
      <c r="C4283" s="5" t="s">
        <v>252</v>
      </c>
      <c r="D4283" s="5" t="s">
        <v>253</v>
      </c>
      <c r="E4283" s="5" t="s">
        <v>534</v>
      </c>
      <c r="F4283" s="9" t="s">
        <v>535</v>
      </c>
      <c r="G4283" s="9">
        <v>102</v>
      </c>
      <c r="H4283" s="5" t="s">
        <v>20</v>
      </c>
      <c r="I4283" s="5" t="s">
        <v>9978</v>
      </c>
      <c r="J4283" s="12" t="str">
        <f>HYPERLINK("https://www.boe.es/gazeta/dias/1807/01/24/pdfs/GMD-1807-9E.pdf#page=6","Abrir facsímil")</f>
        <v>Abrir facsímil</v>
      </c>
      <c r="K4283" s="15" t="s">
        <v>22</v>
      </c>
    </row>
    <row r="4284" spans="1:11" ht="42" customHeight="1">
      <c r="A4284" s="4" t="s">
        <v>9979</v>
      </c>
      <c r="B4284" s="5" t="s">
        <v>9979</v>
      </c>
      <c r="C4284" s="5" t="s">
        <v>49</v>
      </c>
      <c r="D4284" s="5" t="s">
        <v>50</v>
      </c>
      <c r="E4284" s="5" t="s">
        <v>929</v>
      </c>
      <c r="F4284" s="9">
        <v>85</v>
      </c>
      <c r="G4284" s="9">
        <v>989</v>
      </c>
      <c r="H4284" s="5" t="s">
        <v>20</v>
      </c>
      <c r="I4284" s="5" t="s">
        <v>9980</v>
      </c>
      <c r="J4284" s="12" t="str">
        <f>HYPERLINK("https://www.boe.es/gazeta/dias/1807/09/25/pdfs/GMD-1807-85.pdf#page=5","Abrir facsímil")</f>
        <v>Abrir facsímil</v>
      </c>
      <c r="K4284" s="15" t="s">
        <v>22</v>
      </c>
    </row>
    <row r="4285" spans="1:11" ht="42" customHeight="1">
      <c r="A4285" s="4" t="s">
        <v>9981</v>
      </c>
      <c r="B4285" s="5" t="s">
        <v>9982</v>
      </c>
      <c r="C4285" s="5" t="s">
        <v>34</v>
      </c>
      <c r="D4285" s="5" t="s">
        <v>35</v>
      </c>
      <c r="E4285" s="5" t="s">
        <v>406</v>
      </c>
      <c r="F4285" s="9">
        <v>82</v>
      </c>
      <c r="G4285" s="9">
        <v>956</v>
      </c>
      <c r="H4285" s="5" t="s">
        <v>20</v>
      </c>
      <c r="I4285" s="5" t="s">
        <v>9983</v>
      </c>
      <c r="J4285" s="12" t="str">
        <f>HYPERLINK("https://www.boe.es/gazeta/dias/1807/09/15/pdfs/GMD-1807-82.pdf#page=8","Abrir facsímil")</f>
        <v>Abrir facsímil</v>
      </c>
      <c r="K4285" s="15" t="s">
        <v>22</v>
      </c>
    </row>
    <row r="4286" spans="1:11" ht="42" customHeight="1">
      <c r="A4286" s="4" t="s">
        <v>9984</v>
      </c>
      <c r="B4286" s="5" t="s">
        <v>9984</v>
      </c>
      <c r="C4286" s="5" t="s">
        <v>24</v>
      </c>
      <c r="D4286" s="5" t="s">
        <v>18</v>
      </c>
      <c r="E4286" s="5" t="s">
        <v>595</v>
      </c>
      <c r="F4286" s="9">
        <v>59</v>
      </c>
      <c r="G4286" s="9">
        <v>705</v>
      </c>
      <c r="H4286" s="5" t="s">
        <v>20</v>
      </c>
      <c r="I4286" s="5" t="s">
        <v>9985</v>
      </c>
      <c r="J4286" s="12" t="str">
        <f>HYPERLINK("https://www.boe.es/gazeta/dias/1807/07/10/pdfs/GMD-1807-59.pdf#page=11","Abrir facsímil")</f>
        <v>Abrir facsímil</v>
      </c>
      <c r="K4286" s="15" t="s">
        <v>22</v>
      </c>
    </row>
    <row r="4287" spans="1:11" ht="42" customHeight="1">
      <c r="A4287" s="4" t="s">
        <v>9986</v>
      </c>
      <c r="B4287" s="5" t="s">
        <v>9987</v>
      </c>
      <c r="C4287" s="5" t="s">
        <v>34</v>
      </c>
      <c r="D4287" s="5" t="s">
        <v>35</v>
      </c>
      <c r="E4287" s="5" t="s">
        <v>393</v>
      </c>
      <c r="F4287" s="9">
        <v>15</v>
      </c>
      <c r="G4287" s="9">
        <v>172</v>
      </c>
      <c r="H4287" s="5" t="s">
        <v>20</v>
      </c>
      <c r="I4287" s="5" t="s">
        <v>9988</v>
      </c>
      <c r="J4287" s="12" t="str">
        <f>HYPERLINK("https://www.boe.es/gazeta/dias/1807/02/13/pdfs/GMD-1807-15.pdf#page=8","Abrir facsímil")</f>
        <v>Abrir facsímil</v>
      </c>
      <c r="K4287" s="15" t="s">
        <v>22</v>
      </c>
    </row>
    <row r="4288" spans="1:11" ht="42" customHeight="1">
      <c r="A4288" s="4" t="s">
        <v>9989</v>
      </c>
      <c r="B4288" s="5" t="s">
        <v>9990</v>
      </c>
      <c r="C4288" s="5" t="s">
        <v>34</v>
      </c>
      <c r="D4288" s="5" t="s">
        <v>35</v>
      </c>
      <c r="E4288" s="5" t="s">
        <v>282</v>
      </c>
      <c r="F4288" s="9">
        <v>16</v>
      </c>
      <c r="G4288" s="9">
        <v>187</v>
      </c>
      <c r="H4288" s="5" t="s">
        <v>20</v>
      </c>
      <c r="I4288" s="5" t="s">
        <v>9991</v>
      </c>
      <c r="J4288" s="12" t="str">
        <f>HYPERLINK("https://www.boe.es/gazeta/dias/1807/02/17/pdfs/GMD-1807-16.pdf#page=11","Abrir facsímil")</f>
        <v>Abrir facsímil</v>
      </c>
      <c r="K4288" s="15" t="s">
        <v>22</v>
      </c>
    </row>
    <row r="4289" spans="1:11" ht="42" customHeight="1">
      <c r="A4289" s="4" t="s">
        <v>9992</v>
      </c>
      <c r="B4289" s="5" t="s">
        <v>9992</v>
      </c>
      <c r="C4289" s="5" t="s">
        <v>34</v>
      </c>
      <c r="D4289" s="5" t="s">
        <v>35</v>
      </c>
      <c r="E4289" s="5" t="s">
        <v>1456</v>
      </c>
      <c r="F4289" s="9">
        <v>98</v>
      </c>
      <c r="G4289" s="9">
        <v>1136</v>
      </c>
      <c r="H4289" s="5" t="s">
        <v>20</v>
      </c>
      <c r="I4289" s="5" t="s">
        <v>9993</v>
      </c>
      <c r="J4289" s="12" t="str">
        <f>HYPERLINK("https://www.boe.es/gazeta/dias/1807/11/03/pdfs/GMD-1807-98.pdf#page=4","Abrir facsímil")</f>
        <v>Abrir facsímil</v>
      </c>
      <c r="K4289" s="15" t="s">
        <v>22</v>
      </c>
    </row>
    <row r="4290" spans="1:11" ht="42" customHeight="1">
      <c r="A4290" s="4" t="s">
        <v>9994</v>
      </c>
      <c r="B4290" s="5" t="s">
        <v>9995</v>
      </c>
      <c r="C4290" s="5" t="s">
        <v>34</v>
      </c>
      <c r="D4290" s="5" t="s">
        <v>35</v>
      </c>
      <c r="E4290" s="5" t="s">
        <v>393</v>
      </c>
      <c r="F4290" s="9">
        <v>15</v>
      </c>
      <c r="G4290" s="9">
        <v>166</v>
      </c>
      <c r="H4290" s="5" t="s">
        <v>20</v>
      </c>
      <c r="I4290" s="5" t="s">
        <v>9996</v>
      </c>
      <c r="J4290" s="12" t="str">
        <f>HYPERLINK("https://www.boe.es/gazeta/dias/1807/02/13/pdfs/GMD-1807-15.pdf#page=2","Abrir facsímil")</f>
        <v>Abrir facsímil</v>
      </c>
      <c r="K4290" s="15" t="s">
        <v>22</v>
      </c>
    </row>
    <row r="4291" spans="1:11" ht="42" customHeight="1">
      <c r="A4291" s="4" t="s">
        <v>9997</v>
      </c>
      <c r="B4291" s="5" t="s">
        <v>9998</v>
      </c>
      <c r="C4291" s="5" t="s">
        <v>28</v>
      </c>
      <c r="D4291" s="5" t="s">
        <v>29</v>
      </c>
      <c r="E4291" s="5" t="s">
        <v>65</v>
      </c>
      <c r="F4291" s="9">
        <v>52</v>
      </c>
      <c r="G4291" s="9">
        <v>621</v>
      </c>
      <c r="H4291" s="5" t="s">
        <v>20</v>
      </c>
      <c r="I4291" s="5" t="s">
        <v>9999</v>
      </c>
      <c r="J4291" s="12" t="str">
        <f>HYPERLINK("https://www.boe.es/gazeta/dias/1807/06/19/pdfs/GMD-1807-52.pdf#page=11","Abrir facsímil")</f>
        <v>Abrir facsímil</v>
      </c>
      <c r="K4291" s="15" t="s">
        <v>22</v>
      </c>
    </row>
    <row r="4292" spans="1:11" ht="42" customHeight="1">
      <c r="A4292" s="4" t="s">
        <v>10000</v>
      </c>
      <c r="B4292" s="5" t="s">
        <v>10001</v>
      </c>
      <c r="C4292" s="5" t="s">
        <v>34</v>
      </c>
      <c r="D4292" s="5" t="s">
        <v>35</v>
      </c>
      <c r="E4292" s="5" t="s">
        <v>319</v>
      </c>
      <c r="F4292" s="9">
        <v>54</v>
      </c>
      <c r="G4292" s="9">
        <v>645</v>
      </c>
      <c r="H4292" s="5" t="s">
        <v>20</v>
      </c>
      <c r="I4292" s="5" t="s">
        <v>10002</v>
      </c>
      <c r="J4292" s="12" t="str">
        <f>HYPERLINK("https://www.boe.es/gazeta/dias/1807/06/26/pdfs/GMD-1807-54.pdf#page=7","Abrir facsímil")</f>
        <v>Abrir facsímil</v>
      </c>
      <c r="K4292" s="15" t="s">
        <v>22</v>
      </c>
    </row>
    <row r="4293" spans="1:11" ht="42" customHeight="1">
      <c r="A4293" s="4" t="s">
        <v>10003</v>
      </c>
      <c r="B4293" s="5" t="s">
        <v>10004</v>
      </c>
      <c r="C4293" s="5" t="s">
        <v>34</v>
      </c>
      <c r="D4293" s="5" t="s">
        <v>35</v>
      </c>
      <c r="E4293" s="5" t="s">
        <v>1456</v>
      </c>
      <c r="F4293" s="9">
        <v>98</v>
      </c>
      <c r="G4293" s="9">
        <v>1141</v>
      </c>
      <c r="H4293" s="5" t="s">
        <v>20</v>
      </c>
      <c r="I4293" s="5" t="s">
        <v>10005</v>
      </c>
      <c r="J4293" s="12" t="str">
        <f>HYPERLINK("https://www.boe.es/gazeta/dias/1807/11/03/pdfs/GMD-1807-98.pdf#page=9","Abrir facsímil")</f>
        <v>Abrir facsímil</v>
      </c>
      <c r="K4293" s="15" t="s">
        <v>22</v>
      </c>
    </row>
    <row r="4294" spans="1:11" ht="42" customHeight="1">
      <c r="A4294" s="4" t="s">
        <v>10006</v>
      </c>
      <c r="B4294" s="5" t="s">
        <v>10007</v>
      </c>
      <c r="C4294" s="5" t="s">
        <v>34</v>
      </c>
      <c r="D4294" s="5" t="s">
        <v>35</v>
      </c>
      <c r="E4294" s="5" t="s">
        <v>464</v>
      </c>
      <c r="F4294" s="9">
        <v>18</v>
      </c>
      <c r="G4294" s="9">
        <v>212</v>
      </c>
      <c r="H4294" s="5" t="s">
        <v>20</v>
      </c>
      <c r="I4294" s="5" t="s">
        <v>10008</v>
      </c>
      <c r="J4294" s="12" t="str">
        <f>HYPERLINK("https://www.boe.es/gazeta/dias/1807/02/24/pdfs/GMD-1807-18.pdf#page=12","Abrir facsímil")</f>
        <v>Abrir facsímil</v>
      </c>
      <c r="K4294" s="15" t="s">
        <v>22</v>
      </c>
    </row>
    <row r="4295" spans="1:11" ht="42" customHeight="1">
      <c r="A4295" s="4" t="s">
        <v>10009</v>
      </c>
      <c r="B4295" s="5" t="s">
        <v>10010</v>
      </c>
      <c r="C4295" s="5" t="s">
        <v>24</v>
      </c>
      <c r="D4295" s="5" t="s">
        <v>18</v>
      </c>
      <c r="E4295" s="5" t="s">
        <v>654</v>
      </c>
      <c r="F4295" s="9">
        <v>94</v>
      </c>
      <c r="G4295" s="9">
        <v>1094</v>
      </c>
      <c r="H4295" s="5" t="s">
        <v>20</v>
      </c>
      <c r="I4295" s="5" t="s">
        <v>10011</v>
      </c>
      <c r="J4295" s="12" t="str">
        <f>HYPERLINK("https://www.boe.es/gazeta/dias/1807/10/20/pdfs/GMD-1807-94.pdf#page=10","Abrir facsímil")</f>
        <v>Abrir facsímil</v>
      </c>
      <c r="K4295" s="15" t="s">
        <v>22</v>
      </c>
    </row>
    <row r="4296" spans="1:11" ht="42" customHeight="1">
      <c r="A4296" s="4" t="s">
        <v>10012</v>
      </c>
      <c r="B4296" s="5" t="s">
        <v>10013</v>
      </c>
      <c r="C4296" s="5" t="s">
        <v>34</v>
      </c>
      <c r="D4296" s="5" t="s">
        <v>35</v>
      </c>
      <c r="E4296" s="5" t="s">
        <v>114</v>
      </c>
      <c r="F4296" s="9">
        <v>46</v>
      </c>
      <c r="G4296" s="9">
        <v>554</v>
      </c>
      <c r="H4296" s="5" t="s">
        <v>20</v>
      </c>
      <c r="I4296" s="5" t="s">
        <v>10014</v>
      </c>
      <c r="J4296" s="12" t="str">
        <f>HYPERLINK("https://www.boe.es/gazeta/dias/1807/05/29/pdfs/GMD-1807-46.pdf#page=12","Abrir facsímil")</f>
        <v>Abrir facsímil</v>
      </c>
      <c r="K4296" s="15" t="s">
        <v>22</v>
      </c>
    </row>
    <row r="4297" spans="1:11" ht="42" customHeight="1">
      <c r="A4297" s="4" t="s">
        <v>10012</v>
      </c>
      <c r="B4297" s="5" t="s">
        <v>10013</v>
      </c>
      <c r="C4297" s="5" t="s">
        <v>28</v>
      </c>
      <c r="D4297" s="5" t="s">
        <v>29</v>
      </c>
      <c r="E4297" s="5" t="s">
        <v>91</v>
      </c>
      <c r="F4297" s="9">
        <v>109</v>
      </c>
      <c r="G4297" s="9">
        <v>1273</v>
      </c>
      <c r="H4297" s="5" t="s">
        <v>20</v>
      </c>
      <c r="I4297" s="5" t="s">
        <v>10015</v>
      </c>
      <c r="J4297" s="12" t="str">
        <f>HYPERLINK("https://www.boe.es/gazeta/dias/1807/12/08/pdfs/GMD-1807-109.pdf#page=9","Abrir facsímil")</f>
        <v>Abrir facsímil</v>
      </c>
      <c r="K4297" s="15" t="s">
        <v>22</v>
      </c>
    </row>
    <row r="4298" spans="1:11" ht="42" customHeight="1">
      <c r="A4298" s="4" t="s">
        <v>10016</v>
      </c>
      <c r="B4298" s="5" t="s">
        <v>10017</v>
      </c>
      <c r="C4298" s="5" t="s">
        <v>34</v>
      </c>
      <c r="D4298" s="5" t="s">
        <v>35</v>
      </c>
      <c r="E4298" s="5" t="s">
        <v>83</v>
      </c>
      <c r="F4298" s="9">
        <v>50</v>
      </c>
      <c r="G4298" s="9">
        <v>595</v>
      </c>
      <c r="H4298" s="5" t="s">
        <v>20</v>
      </c>
      <c r="I4298" s="5" t="s">
        <v>10018</v>
      </c>
      <c r="J4298" s="12" t="str">
        <f>HYPERLINK("https://www.boe.es/gazeta/dias/1807/06/12/pdfs/GMD-1807-50.pdf#page=9","Abrir facsímil")</f>
        <v>Abrir facsímil</v>
      </c>
      <c r="K4298" s="15" t="s">
        <v>22</v>
      </c>
    </row>
    <row r="4299" spans="1:11" ht="42" customHeight="1">
      <c r="A4299" s="4" t="s">
        <v>10019</v>
      </c>
      <c r="B4299" s="5" t="s">
        <v>10020</v>
      </c>
      <c r="C4299" s="5" t="s">
        <v>49</v>
      </c>
      <c r="D4299" s="5" t="s">
        <v>50</v>
      </c>
      <c r="E4299" s="5" t="s">
        <v>71</v>
      </c>
      <c r="F4299" s="9">
        <v>35</v>
      </c>
      <c r="G4299" s="9">
        <v>411</v>
      </c>
      <c r="H4299" s="5" t="s">
        <v>20</v>
      </c>
      <c r="I4299" s="5" t="s">
        <v>10021</v>
      </c>
      <c r="J4299" s="12" t="str">
        <f>HYPERLINK("https://www.boe.es/gazeta/dias/1807/04/21/pdfs/GMD-1807-35.pdf#page=3","Abrir facsímil")</f>
        <v>Abrir facsímil</v>
      </c>
      <c r="K4299" s="15" t="s">
        <v>22</v>
      </c>
    </row>
    <row r="4300" spans="1:11" ht="42" customHeight="1">
      <c r="A4300" s="4" t="s">
        <v>10022</v>
      </c>
      <c r="B4300" s="5" t="s">
        <v>10022</v>
      </c>
      <c r="C4300" s="5" t="s">
        <v>69</v>
      </c>
      <c r="D4300" s="5" t="s">
        <v>70</v>
      </c>
      <c r="E4300" s="5" t="s">
        <v>71</v>
      </c>
      <c r="F4300" s="9">
        <v>35</v>
      </c>
      <c r="G4300" s="9" t="s">
        <v>1485</v>
      </c>
      <c r="H4300" s="5" t="s">
        <v>20</v>
      </c>
      <c r="I4300" s="5" t="s">
        <v>10023</v>
      </c>
      <c r="J4300" s="12" t="str">
        <f>HYPERLINK("https://www.boe.es/gazeta/dias/1807/04/21/pdfs/C00001-00004.pdf#page=4","Abrir facsímil")</f>
        <v>Abrir facsímil</v>
      </c>
      <c r="K4300" s="15" t="s">
        <v>22</v>
      </c>
    </row>
    <row r="4301" spans="1:11" ht="42" customHeight="1">
      <c r="A4301" s="4" t="s">
        <v>10024</v>
      </c>
      <c r="B4301" s="5" t="s">
        <v>10024</v>
      </c>
      <c r="C4301" s="5" t="s">
        <v>17</v>
      </c>
      <c r="D4301" s="5" t="s">
        <v>18</v>
      </c>
      <c r="E4301" s="5" t="s">
        <v>620</v>
      </c>
      <c r="F4301" s="9">
        <v>84</v>
      </c>
      <c r="G4301" s="9">
        <v>983</v>
      </c>
      <c r="H4301" s="5" t="s">
        <v>20</v>
      </c>
      <c r="I4301" s="5" t="s">
        <v>10025</v>
      </c>
      <c r="J4301" s="12" t="str">
        <f>HYPERLINK("https://www.boe.es/gazeta/dias/1807/09/22/pdfs/GMD-1807-84.pdf#page=11","Abrir facsímil")</f>
        <v>Abrir facsímil</v>
      </c>
      <c r="K4301" s="15" t="s">
        <v>22</v>
      </c>
    </row>
    <row r="4302" spans="1:11" ht="42" customHeight="1">
      <c r="A4302" s="4" t="s">
        <v>10026</v>
      </c>
      <c r="B4302" s="5" t="s">
        <v>10027</v>
      </c>
      <c r="C4302" s="5" t="s">
        <v>89</v>
      </c>
      <c r="D4302" s="5" t="s">
        <v>90</v>
      </c>
      <c r="E4302" s="5" t="s">
        <v>91</v>
      </c>
      <c r="F4302" s="9">
        <v>109</v>
      </c>
      <c r="G4302" s="9">
        <v>1275</v>
      </c>
      <c r="H4302" s="5" t="s">
        <v>20</v>
      </c>
      <c r="I4302" s="5" t="s">
        <v>10028</v>
      </c>
      <c r="J4302" s="12" t="str">
        <f>HYPERLINK("https://www.boe.es/gazeta/dias/1807/12/08/pdfs/GMD-1807-109.pdf#page=11","Abrir facsímil")</f>
        <v>Abrir facsímil</v>
      </c>
      <c r="K4302" s="15" t="s">
        <v>22</v>
      </c>
    </row>
    <row r="4303" spans="1:11" ht="42" customHeight="1">
      <c r="A4303" s="4" t="s">
        <v>10029</v>
      </c>
      <c r="B4303" s="5" t="s">
        <v>10030</v>
      </c>
      <c r="C4303" s="5" t="s">
        <v>17</v>
      </c>
      <c r="D4303" s="5" t="s">
        <v>18</v>
      </c>
      <c r="E4303" s="5" t="s">
        <v>208</v>
      </c>
      <c r="F4303" s="9">
        <v>42</v>
      </c>
      <c r="G4303" s="9">
        <v>501</v>
      </c>
      <c r="H4303" s="5" t="s">
        <v>20</v>
      </c>
      <c r="I4303" s="5" t="s">
        <v>10031</v>
      </c>
      <c r="J4303" s="12" t="str">
        <f>HYPERLINK("https://www.boe.es/gazeta/dias/1807/05/15/pdfs/GMD-1807-42.pdf#page=7","Abrir facsímil")</f>
        <v>Abrir facsímil</v>
      </c>
      <c r="K4303" s="15" t="s">
        <v>22</v>
      </c>
    </row>
    <row r="4304" spans="1:11" ht="42" customHeight="1">
      <c r="A4304" s="4" t="s">
        <v>10032</v>
      </c>
      <c r="B4304" s="5" t="s">
        <v>10033</v>
      </c>
      <c r="C4304" s="5" t="s">
        <v>89</v>
      </c>
      <c r="D4304" s="5" t="s">
        <v>90</v>
      </c>
      <c r="E4304" s="5" t="s">
        <v>19</v>
      </c>
      <c r="F4304" s="9">
        <v>41</v>
      </c>
      <c r="G4304" s="9">
        <v>494</v>
      </c>
      <c r="H4304" s="5" t="s">
        <v>20</v>
      </c>
      <c r="I4304" s="5" t="s">
        <v>10034</v>
      </c>
      <c r="J4304" s="12" t="str">
        <f>HYPERLINK("https://www.boe.es/gazeta/dias/1807/05/12/pdfs/GMD-1807-41.pdf#page=12","Abrir facsímil")</f>
        <v>Abrir facsímil</v>
      </c>
      <c r="K4304" s="15" t="s">
        <v>22</v>
      </c>
    </row>
    <row r="4305" spans="1:11" ht="42" customHeight="1">
      <c r="A4305" s="4" t="s">
        <v>10035</v>
      </c>
      <c r="B4305" s="5" t="s">
        <v>10035</v>
      </c>
      <c r="C4305" s="5" t="s">
        <v>28</v>
      </c>
      <c r="D4305" s="5" t="s">
        <v>29</v>
      </c>
      <c r="E4305" s="5" t="s">
        <v>149</v>
      </c>
      <c r="F4305" s="9">
        <v>38</v>
      </c>
      <c r="G4305" s="9">
        <v>454</v>
      </c>
      <c r="H4305" s="5" t="s">
        <v>20</v>
      </c>
      <c r="I4305" s="5" t="s">
        <v>10036</v>
      </c>
      <c r="J4305" s="12" t="str">
        <f>HYPERLINK("https://www.boe.es/gazeta/dias/1807/05/01/pdfs/GMD-1807-38.pdf#page=10","Abrir facsímil")</f>
        <v>Abrir facsímil</v>
      </c>
      <c r="K4305" s="15" t="s">
        <v>22</v>
      </c>
    </row>
    <row r="4306" spans="1:11" ht="42" customHeight="1">
      <c r="A4306" s="4" t="s">
        <v>10037</v>
      </c>
      <c r="B4306" s="5" t="s">
        <v>10038</v>
      </c>
      <c r="C4306" s="5" t="s">
        <v>17</v>
      </c>
      <c r="D4306" s="5" t="s">
        <v>18</v>
      </c>
      <c r="E4306" s="5" t="s">
        <v>114</v>
      </c>
      <c r="F4306" s="9">
        <v>46</v>
      </c>
      <c r="G4306" s="9">
        <v>549</v>
      </c>
      <c r="H4306" s="5" t="s">
        <v>20</v>
      </c>
      <c r="I4306" s="5" t="s">
        <v>10039</v>
      </c>
      <c r="J4306" s="12" t="str">
        <f>HYPERLINK("https://www.boe.es/gazeta/dias/1807/05/29/pdfs/GMD-1807-46.pdf#page=7","Abrir facsímil")</f>
        <v>Abrir facsímil</v>
      </c>
      <c r="K4306" s="15" t="s">
        <v>22</v>
      </c>
    </row>
    <row r="4307" spans="1:11" ht="42" customHeight="1">
      <c r="A4307" s="4" t="s">
        <v>10040</v>
      </c>
      <c r="B4307" s="5" t="s">
        <v>10040</v>
      </c>
      <c r="C4307" s="5" t="s">
        <v>28</v>
      </c>
      <c r="D4307" s="5" t="s">
        <v>29</v>
      </c>
      <c r="E4307" s="5" t="s">
        <v>98</v>
      </c>
      <c r="F4307" s="9">
        <v>34</v>
      </c>
      <c r="G4307" s="9">
        <v>401</v>
      </c>
      <c r="H4307" s="5" t="s">
        <v>20</v>
      </c>
      <c r="I4307" s="5" t="s">
        <v>10041</v>
      </c>
      <c r="J4307" s="12" t="str">
        <f>HYPERLINK("https://www.boe.es/gazeta/dias/1807/04/17/pdfs/GMD-1807-34.pdf#page=5","Abrir facsímil")</f>
        <v>Abrir facsímil</v>
      </c>
      <c r="K4307" s="15" t="s">
        <v>22</v>
      </c>
    </row>
    <row r="4308" spans="1:11" ht="42" customHeight="1">
      <c r="A4308" s="4" t="s">
        <v>10040</v>
      </c>
      <c r="B4308" s="5" t="s">
        <v>10040</v>
      </c>
      <c r="C4308" s="5" t="s">
        <v>49</v>
      </c>
      <c r="D4308" s="5" t="s">
        <v>50</v>
      </c>
      <c r="E4308" s="5" t="s">
        <v>123</v>
      </c>
      <c r="F4308" s="9">
        <v>70</v>
      </c>
      <c r="G4308" s="9">
        <v>799</v>
      </c>
      <c r="H4308" s="5" t="s">
        <v>20</v>
      </c>
      <c r="I4308" s="5" t="s">
        <v>10042</v>
      </c>
      <c r="J4308" s="12" t="str">
        <f>HYPERLINK("https://www.boe.es/gazeta/dias/1807/08/04/pdfs/GMD-1807-70.pdf#page=3","Abrir facsímil")</f>
        <v>Abrir facsímil</v>
      </c>
      <c r="K4308" s="15" t="s">
        <v>22</v>
      </c>
    </row>
    <row r="4309" spans="1:11" ht="42" customHeight="1">
      <c r="A4309" s="4" t="s">
        <v>10040</v>
      </c>
      <c r="B4309" s="5" t="s">
        <v>10040</v>
      </c>
      <c r="C4309" s="5" t="s">
        <v>28</v>
      </c>
      <c r="D4309" s="5" t="s">
        <v>29</v>
      </c>
      <c r="E4309" s="5" t="s">
        <v>139</v>
      </c>
      <c r="F4309" s="9">
        <v>110</v>
      </c>
      <c r="G4309" s="9">
        <v>1281</v>
      </c>
      <c r="H4309" s="5" t="s">
        <v>20</v>
      </c>
      <c r="I4309" s="5" t="s">
        <v>10043</v>
      </c>
      <c r="J4309" s="12" t="str">
        <f>HYPERLINK("https://www.boe.es/gazeta/dias/1807/12/11/pdfs/GMD-1807-110.pdf#page=5","Abrir facsímil")</f>
        <v>Abrir facsímil</v>
      </c>
      <c r="K4309" s="15" t="s">
        <v>22</v>
      </c>
    </row>
    <row r="4310" spans="1:11" ht="42" customHeight="1">
      <c r="A4310" s="4" t="s">
        <v>10044</v>
      </c>
      <c r="B4310" s="5" t="s">
        <v>10045</v>
      </c>
      <c r="C4310" s="5" t="s">
        <v>28</v>
      </c>
      <c r="D4310" s="5" t="s">
        <v>29</v>
      </c>
      <c r="E4310" s="5" t="s">
        <v>686</v>
      </c>
      <c r="F4310" s="9">
        <v>106</v>
      </c>
      <c r="G4310" s="9">
        <v>1235</v>
      </c>
      <c r="H4310" s="5" t="s">
        <v>20</v>
      </c>
      <c r="I4310" s="5" t="s">
        <v>10046</v>
      </c>
      <c r="J4310" s="12" t="str">
        <f>HYPERLINK("https://www.boe.es/gazeta/dias/1807/11/27/pdfs/GMD-1807-106.pdf#page=7","Abrir facsímil")</f>
        <v>Abrir facsímil</v>
      </c>
      <c r="K4310" s="15" t="s">
        <v>22</v>
      </c>
    </row>
    <row r="4311" spans="1:11" ht="42" customHeight="1">
      <c r="A4311" s="4" t="s">
        <v>10047</v>
      </c>
      <c r="B4311" s="5" t="s">
        <v>10048</v>
      </c>
      <c r="C4311" s="5" t="s">
        <v>17</v>
      </c>
      <c r="D4311" s="5" t="s">
        <v>18</v>
      </c>
      <c r="E4311" s="5" t="s">
        <v>208</v>
      </c>
      <c r="F4311" s="9">
        <v>42</v>
      </c>
      <c r="G4311" s="9">
        <v>501</v>
      </c>
      <c r="H4311" s="5" t="s">
        <v>20</v>
      </c>
      <c r="I4311" s="5" t="s">
        <v>10049</v>
      </c>
      <c r="J4311" s="12" t="str">
        <f>HYPERLINK("https://www.boe.es/gazeta/dias/1807/05/15/pdfs/GMD-1807-42.pdf#page=7","Abrir facsímil")</f>
        <v>Abrir facsímil</v>
      </c>
      <c r="K4311" s="15" t="s">
        <v>22</v>
      </c>
    </row>
    <row r="4312" spans="1:11" ht="42" customHeight="1">
      <c r="A4312" s="4" t="s">
        <v>10050</v>
      </c>
      <c r="B4312" s="5" t="s">
        <v>10050</v>
      </c>
      <c r="C4312" s="5" t="s">
        <v>34</v>
      </c>
      <c r="D4312" s="5" t="s">
        <v>35</v>
      </c>
      <c r="E4312" s="5" t="s">
        <v>36</v>
      </c>
      <c r="F4312" s="9">
        <v>36</v>
      </c>
      <c r="G4312" s="9">
        <v>430</v>
      </c>
      <c r="H4312" s="5" t="s">
        <v>20</v>
      </c>
      <c r="I4312" s="5" t="s">
        <v>10051</v>
      </c>
      <c r="J4312" s="12" t="str">
        <f>HYPERLINK("https://www.boe.es/gazeta/dias/1807/04/24/pdfs/GMD-1807-36.pdf#page=10","Abrir facsímil")</f>
        <v>Abrir facsímil</v>
      </c>
      <c r="K4312" s="15" t="s">
        <v>22</v>
      </c>
    </row>
    <row r="4313" spans="1:11" ht="42" customHeight="1">
      <c r="A4313" s="4" t="s">
        <v>10052</v>
      </c>
      <c r="B4313" s="5" t="s">
        <v>10053</v>
      </c>
      <c r="C4313" s="5" t="s">
        <v>34</v>
      </c>
      <c r="D4313" s="5" t="s">
        <v>35</v>
      </c>
      <c r="E4313" s="5" t="s">
        <v>19</v>
      </c>
      <c r="F4313" s="9">
        <v>41</v>
      </c>
      <c r="G4313" s="9">
        <v>490</v>
      </c>
      <c r="H4313" s="5" t="s">
        <v>20</v>
      </c>
      <c r="I4313" s="5" t="s">
        <v>10054</v>
      </c>
      <c r="J4313" s="12" t="str">
        <f>HYPERLINK("https://www.boe.es/gazeta/dias/1807/05/12/pdfs/GMD-1807-41.pdf#page=8","Abrir facsímil")</f>
        <v>Abrir facsímil</v>
      </c>
      <c r="K4313" s="15" t="s">
        <v>22</v>
      </c>
    </row>
    <row r="4314" spans="1:11" ht="42" customHeight="1">
      <c r="A4314" s="4" t="s">
        <v>10055</v>
      </c>
      <c r="B4314" s="5" t="s">
        <v>10056</v>
      </c>
      <c r="C4314" s="5" t="s">
        <v>34</v>
      </c>
      <c r="D4314" s="5" t="s">
        <v>35</v>
      </c>
      <c r="E4314" s="5" t="s">
        <v>296</v>
      </c>
      <c r="F4314" s="9">
        <v>102</v>
      </c>
      <c r="G4314" s="9">
        <v>1189</v>
      </c>
      <c r="H4314" s="5" t="s">
        <v>20</v>
      </c>
      <c r="I4314" s="5" t="s">
        <v>10057</v>
      </c>
      <c r="J4314" s="12" t="str">
        <f>HYPERLINK("https://www.boe.es/gazeta/dias/1807/11/17/pdfs/GMD-1807-102.pdf#page=9","Abrir facsímil")</f>
        <v>Abrir facsímil</v>
      </c>
      <c r="K4314" s="15" t="s">
        <v>22</v>
      </c>
    </row>
    <row r="4315" spans="1:11" ht="42" customHeight="1">
      <c r="A4315" s="4" t="s">
        <v>10058</v>
      </c>
      <c r="B4315" s="5" t="s">
        <v>10058</v>
      </c>
      <c r="C4315" s="5" t="s">
        <v>24</v>
      </c>
      <c r="D4315" s="5" t="s">
        <v>18</v>
      </c>
      <c r="E4315" s="5" t="s">
        <v>101</v>
      </c>
      <c r="F4315" s="9">
        <v>23</v>
      </c>
      <c r="G4315" s="9">
        <v>265</v>
      </c>
      <c r="H4315" s="5" t="s">
        <v>20</v>
      </c>
      <c r="I4315" s="5" t="s">
        <v>10059</v>
      </c>
      <c r="J4315" s="12" t="str">
        <f>HYPERLINK("https://www.boe.es/gazeta/dias/1807/03/10/pdfs/GMD-1807-23.pdf#page=5","Abrir facsímil")</f>
        <v>Abrir facsímil</v>
      </c>
      <c r="K4315" s="15" t="s">
        <v>22</v>
      </c>
    </row>
    <row r="4316" spans="1:11" ht="42" customHeight="1">
      <c r="A4316" s="4" t="s">
        <v>10060</v>
      </c>
      <c r="B4316" s="5" t="s">
        <v>10061</v>
      </c>
      <c r="C4316" s="5" t="s">
        <v>17</v>
      </c>
      <c r="D4316" s="5" t="s">
        <v>18</v>
      </c>
      <c r="E4316" s="5" t="s">
        <v>131</v>
      </c>
      <c r="F4316" s="9">
        <v>28</v>
      </c>
      <c r="G4316" s="9">
        <v>335</v>
      </c>
      <c r="H4316" s="5" t="s">
        <v>20</v>
      </c>
      <c r="I4316" s="5" t="s">
        <v>10062</v>
      </c>
      <c r="J4316" s="12" t="str">
        <f>HYPERLINK("https://www.boe.es/gazeta/dias/1807/03/27/pdfs/GMD-1807-28.pdf#page=7","Abrir facsímil")</f>
        <v>Abrir facsímil</v>
      </c>
      <c r="K4316" s="15" t="s">
        <v>22</v>
      </c>
    </row>
    <row r="4317" spans="1:11" ht="42" customHeight="1">
      <c r="A4317" s="4" t="s">
        <v>10063</v>
      </c>
      <c r="B4317" s="5" t="s">
        <v>10064</v>
      </c>
      <c r="C4317" s="5" t="s">
        <v>34</v>
      </c>
      <c r="D4317" s="5" t="s">
        <v>35</v>
      </c>
      <c r="E4317" s="5" t="s">
        <v>40</v>
      </c>
      <c r="F4317" s="9">
        <v>26</v>
      </c>
      <c r="G4317" s="9">
        <v>312</v>
      </c>
      <c r="H4317" s="5" t="s">
        <v>20</v>
      </c>
      <c r="I4317" s="5" t="s">
        <v>10065</v>
      </c>
      <c r="J4317" s="12" t="str">
        <f>HYPERLINK("https://www.boe.es/gazeta/dias/1807/03/20/pdfs/GMD-1807-26.pdf#page=8","Abrir facsímil")</f>
        <v>Abrir facsímil</v>
      </c>
      <c r="K4317" s="15" t="s">
        <v>22</v>
      </c>
    </row>
    <row r="4318" spans="1:11" ht="42" customHeight="1">
      <c r="A4318" s="4" t="s">
        <v>10066</v>
      </c>
      <c r="B4318" s="5" t="s">
        <v>10067</v>
      </c>
      <c r="C4318" s="5" t="s">
        <v>89</v>
      </c>
      <c r="D4318" s="5" t="s">
        <v>90</v>
      </c>
      <c r="E4318" s="5" t="s">
        <v>65</v>
      </c>
      <c r="F4318" s="9">
        <v>52</v>
      </c>
      <c r="G4318" s="9">
        <v>626</v>
      </c>
      <c r="H4318" s="5" t="s">
        <v>20</v>
      </c>
      <c r="I4318" s="5" t="s">
        <v>10068</v>
      </c>
      <c r="J4318" s="12" t="str">
        <f>HYPERLINK("https://www.boe.es/gazeta/dias/1807/06/19/pdfs/GMD-1807-52.pdf#page=16","Abrir facsímil")</f>
        <v>Abrir facsímil</v>
      </c>
      <c r="K4318" s="15" t="s">
        <v>22</v>
      </c>
    </row>
    <row r="4319" spans="1:11" ht="42" customHeight="1">
      <c r="A4319" s="4" t="s">
        <v>10069</v>
      </c>
      <c r="B4319" s="5" t="s">
        <v>10070</v>
      </c>
      <c r="C4319" s="5" t="s">
        <v>34</v>
      </c>
      <c r="D4319" s="5" t="s">
        <v>35</v>
      </c>
      <c r="E4319" s="5" t="s">
        <v>567</v>
      </c>
      <c r="F4319" s="9">
        <v>55</v>
      </c>
      <c r="G4319" s="9">
        <v>659</v>
      </c>
      <c r="H4319" s="5" t="s">
        <v>20</v>
      </c>
      <c r="I4319" s="5" t="s">
        <v>10071</v>
      </c>
      <c r="J4319" s="12" t="str">
        <f>HYPERLINK("https://www.boe.es/gazeta/dias/1807/06/30/pdfs/GMD-1807-55.pdf#page=9","Abrir facsímil")</f>
        <v>Abrir facsímil</v>
      </c>
      <c r="K4319" s="15" t="s">
        <v>22</v>
      </c>
    </row>
    <row r="4320" spans="1:11" ht="42" customHeight="1">
      <c r="A4320" s="4" t="s">
        <v>10072</v>
      </c>
      <c r="B4320" s="5" t="s">
        <v>10073</v>
      </c>
      <c r="C4320" s="5" t="s">
        <v>24</v>
      </c>
      <c r="D4320" s="5" t="s">
        <v>18</v>
      </c>
      <c r="E4320" s="5" t="s">
        <v>464</v>
      </c>
      <c r="F4320" s="9">
        <v>18</v>
      </c>
      <c r="G4320" s="9">
        <v>212</v>
      </c>
      <c r="H4320" s="5" t="s">
        <v>20</v>
      </c>
      <c r="I4320" s="5" t="s">
        <v>10074</v>
      </c>
      <c r="J4320" s="12" t="str">
        <f>HYPERLINK("https://www.boe.es/gazeta/dias/1807/02/24/pdfs/GMD-1807-18.pdf#page=12","Abrir facsímil")</f>
        <v>Abrir facsímil</v>
      </c>
      <c r="K4320" s="15" t="s">
        <v>22</v>
      </c>
    </row>
    <row r="4321" spans="1:11" ht="42" customHeight="1">
      <c r="A4321" s="4" t="s">
        <v>10072</v>
      </c>
      <c r="B4321" s="5" t="s">
        <v>10073</v>
      </c>
      <c r="C4321" s="5" t="s">
        <v>24</v>
      </c>
      <c r="D4321" s="5" t="s">
        <v>18</v>
      </c>
      <c r="E4321" s="5" t="s">
        <v>46</v>
      </c>
      <c r="F4321" s="9">
        <v>78</v>
      </c>
      <c r="G4321" s="9">
        <v>904</v>
      </c>
      <c r="H4321" s="5" t="s">
        <v>20</v>
      </c>
      <c r="I4321" s="5" t="s">
        <v>10075</v>
      </c>
      <c r="J4321" s="12" t="str">
        <f>HYPERLINK("https://www.boe.es/gazeta/dias/1807/09/01/pdfs/GMD-1807-78.pdf#page=8","Abrir facsímil")</f>
        <v>Abrir facsímil</v>
      </c>
      <c r="K4321" s="15" t="s">
        <v>22</v>
      </c>
    </row>
    <row r="4322" spans="1:11" ht="42" customHeight="1">
      <c r="A4322" s="4" t="s">
        <v>10076</v>
      </c>
      <c r="B4322" s="5" t="s">
        <v>10077</v>
      </c>
      <c r="C4322" s="5" t="s">
        <v>34</v>
      </c>
      <c r="D4322" s="5" t="s">
        <v>35</v>
      </c>
      <c r="E4322" s="5" t="s">
        <v>98</v>
      </c>
      <c r="F4322" s="9">
        <v>34</v>
      </c>
      <c r="G4322" s="9">
        <v>406</v>
      </c>
      <c r="H4322" s="5" t="s">
        <v>20</v>
      </c>
      <c r="I4322" s="5" t="s">
        <v>10078</v>
      </c>
      <c r="J4322" s="12" t="str">
        <f>HYPERLINK("https://www.boe.es/gazeta/dias/1807/04/17/pdfs/GMD-1807-34.pdf#page=10","Abrir facsímil")</f>
        <v>Abrir facsímil</v>
      </c>
      <c r="K4322" s="15" t="s">
        <v>22</v>
      </c>
    </row>
    <row r="4323" spans="1:11" ht="42" customHeight="1">
      <c r="A4323" s="4" t="s">
        <v>10079</v>
      </c>
      <c r="B4323" s="5" t="s">
        <v>10080</v>
      </c>
      <c r="C4323" s="5" t="s">
        <v>17</v>
      </c>
      <c r="D4323" s="5" t="s">
        <v>18</v>
      </c>
      <c r="E4323" s="5" t="s">
        <v>42</v>
      </c>
      <c r="F4323" s="9">
        <v>31</v>
      </c>
      <c r="G4323" s="9">
        <v>368</v>
      </c>
      <c r="H4323" s="5" t="s">
        <v>20</v>
      </c>
      <c r="I4323" s="5" t="s">
        <v>10081</v>
      </c>
      <c r="J4323" s="12" t="str">
        <f>HYPERLINK("https://www.boe.es/gazeta/dias/1807/04/07/pdfs/GMD-1807-31.pdf#page=8","Abrir facsímil")</f>
        <v>Abrir facsímil</v>
      </c>
      <c r="K4323" s="15" t="s">
        <v>22</v>
      </c>
    </row>
    <row r="4324" spans="1:11" ht="42" customHeight="1">
      <c r="A4324" s="4" t="s">
        <v>10082</v>
      </c>
      <c r="B4324" s="5" t="s">
        <v>10083</v>
      </c>
      <c r="C4324" s="5" t="s">
        <v>49</v>
      </c>
      <c r="D4324" s="5" t="s">
        <v>50</v>
      </c>
      <c r="E4324" s="5" t="s">
        <v>572</v>
      </c>
      <c r="F4324" s="9">
        <v>14</v>
      </c>
      <c r="G4324" s="9">
        <v>159</v>
      </c>
      <c r="H4324" s="5" t="s">
        <v>20</v>
      </c>
      <c r="I4324" s="5" t="s">
        <v>10084</v>
      </c>
      <c r="J4324" s="12" t="str">
        <f>HYPERLINK("https://www.boe.es/gazeta/dias/1807/02/10/pdfs/GMD-1807-14.pdf#page=7","Abrir facsímil")</f>
        <v>Abrir facsímil</v>
      </c>
      <c r="K4324" s="15" t="s">
        <v>22</v>
      </c>
    </row>
    <row r="4325" spans="1:11" ht="42" customHeight="1">
      <c r="A4325" s="4" t="s">
        <v>10085</v>
      </c>
      <c r="B4325" s="5" t="s">
        <v>10086</v>
      </c>
      <c r="C4325" s="5" t="s">
        <v>34</v>
      </c>
      <c r="D4325" s="5" t="s">
        <v>35</v>
      </c>
      <c r="E4325" s="5" t="s">
        <v>65</v>
      </c>
      <c r="F4325" s="9">
        <v>52</v>
      </c>
      <c r="G4325" s="9">
        <v>621</v>
      </c>
      <c r="H4325" s="5" t="s">
        <v>20</v>
      </c>
      <c r="I4325" s="5" t="s">
        <v>10087</v>
      </c>
      <c r="J4325" s="12" t="str">
        <f>HYPERLINK("https://www.boe.es/gazeta/dias/1807/06/19/pdfs/GMD-1807-52.pdf#page=11","Abrir facsímil")</f>
        <v>Abrir facsímil</v>
      </c>
      <c r="K4325" s="15" t="s">
        <v>22</v>
      </c>
    </row>
    <row r="4326" spans="1:11" ht="42" customHeight="1">
      <c r="A4326" s="4" t="s">
        <v>10088</v>
      </c>
      <c r="B4326" s="5" t="s">
        <v>10089</v>
      </c>
      <c r="C4326" s="5" t="s">
        <v>28</v>
      </c>
      <c r="D4326" s="5" t="s">
        <v>29</v>
      </c>
      <c r="E4326" s="5" t="s">
        <v>104</v>
      </c>
      <c r="F4326" s="9">
        <v>25</v>
      </c>
      <c r="G4326" s="9">
        <v>302</v>
      </c>
      <c r="H4326" s="5" t="s">
        <v>20</v>
      </c>
      <c r="I4326" s="5" t="s">
        <v>10090</v>
      </c>
      <c r="J4326" s="12" t="str">
        <f>HYPERLINK("https://www.boe.es/gazeta/dias/1807/03/17/pdfs/GMD-1807-25.pdf#page=10","Abrir facsímil")</f>
        <v>Abrir facsímil</v>
      </c>
      <c r="K4326" s="15" t="s">
        <v>22</v>
      </c>
    </row>
    <row r="4327" spans="1:11" ht="42" customHeight="1">
      <c r="A4327" s="4" t="s">
        <v>10091</v>
      </c>
      <c r="B4327" s="5" t="s">
        <v>10092</v>
      </c>
      <c r="C4327" s="5" t="s">
        <v>28</v>
      </c>
      <c r="D4327" s="5" t="s">
        <v>29</v>
      </c>
      <c r="E4327" s="5" t="s">
        <v>53</v>
      </c>
      <c r="F4327" s="9">
        <v>64</v>
      </c>
      <c r="G4327" s="9">
        <v>748</v>
      </c>
      <c r="H4327" s="5" t="s">
        <v>20</v>
      </c>
      <c r="I4327" s="5" t="s">
        <v>10093</v>
      </c>
      <c r="J4327" s="12" t="str">
        <f>HYPERLINK("https://www.boe.es/gazeta/dias/1807/07/21/pdfs/GMD-1807-64.pdf#page=10","Abrir facsímil")</f>
        <v>Abrir facsímil</v>
      </c>
      <c r="K4327" s="15" t="s">
        <v>22</v>
      </c>
    </row>
    <row r="4328" spans="1:11" ht="42" customHeight="1">
      <c r="A4328" s="4" t="s">
        <v>10088</v>
      </c>
      <c r="B4328" s="5" t="s">
        <v>10089</v>
      </c>
      <c r="C4328" s="5" t="s">
        <v>28</v>
      </c>
      <c r="D4328" s="5" t="s">
        <v>29</v>
      </c>
      <c r="E4328" s="5" t="s">
        <v>754</v>
      </c>
      <c r="F4328" s="9">
        <v>103</v>
      </c>
      <c r="G4328" s="9">
        <v>1203</v>
      </c>
      <c r="H4328" s="5" t="s">
        <v>20</v>
      </c>
      <c r="I4328" s="5" t="s">
        <v>10094</v>
      </c>
      <c r="J4328" s="12" t="str">
        <f>HYPERLINK("https://www.boe.es/gazeta/dias/1807/11/20/pdfs/GMD-1807-103.pdf#page=11","Abrir facsímil")</f>
        <v>Abrir facsímil</v>
      </c>
      <c r="K4328" s="15" t="s">
        <v>22</v>
      </c>
    </row>
    <row r="4329" spans="1:11" ht="42" customHeight="1">
      <c r="A4329" s="4" t="s">
        <v>10095</v>
      </c>
      <c r="B4329" s="5" t="s">
        <v>10096</v>
      </c>
      <c r="C4329" s="5" t="s">
        <v>28</v>
      </c>
      <c r="D4329" s="5" t="s">
        <v>29</v>
      </c>
      <c r="E4329" s="5" t="s">
        <v>464</v>
      </c>
      <c r="F4329" s="9">
        <v>18</v>
      </c>
      <c r="G4329" s="9">
        <v>214</v>
      </c>
      <c r="H4329" s="5" t="s">
        <v>20</v>
      </c>
      <c r="I4329" s="5" t="s">
        <v>10097</v>
      </c>
      <c r="J4329" s="12" t="str">
        <f>HYPERLINK("https://www.boe.es/gazeta/dias/1807/02/24/pdfs/GMD-1807-18.pdf#page=14","Abrir facsímil")</f>
        <v>Abrir facsímil</v>
      </c>
      <c r="K4329" s="15" t="s">
        <v>22</v>
      </c>
    </row>
    <row r="4330" spans="1:11" ht="42" customHeight="1">
      <c r="A4330" s="4" t="s">
        <v>10095</v>
      </c>
      <c r="B4330" s="5" t="s">
        <v>10096</v>
      </c>
      <c r="C4330" s="5" t="s">
        <v>2383</v>
      </c>
      <c r="D4330" s="5" t="s">
        <v>2384</v>
      </c>
      <c r="E4330" s="5" t="s">
        <v>561</v>
      </c>
      <c r="F4330" s="9">
        <v>44</v>
      </c>
      <c r="G4330" s="9" t="s">
        <v>72</v>
      </c>
      <c r="H4330" s="5" t="s">
        <v>20</v>
      </c>
      <c r="I4330" s="5" t="s">
        <v>10098</v>
      </c>
      <c r="J4330" s="12" t="str">
        <f>HYPERLINK("https://www.boe.es/gazeta/dias/1807/05/22/pdfs/GMD-C-1807-44.pdf#page=1","Abrir facsímil")</f>
        <v>Abrir facsímil</v>
      </c>
      <c r="K4330" s="15" t="s">
        <v>22</v>
      </c>
    </row>
    <row r="4331" spans="1:11" ht="42" customHeight="1">
      <c r="A4331" s="4" t="s">
        <v>10099</v>
      </c>
      <c r="B4331" s="5" t="s">
        <v>10100</v>
      </c>
      <c r="C4331" s="5" t="s">
        <v>34</v>
      </c>
      <c r="D4331" s="5" t="s">
        <v>35</v>
      </c>
      <c r="E4331" s="5" t="s">
        <v>422</v>
      </c>
      <c r="F4331" s="9">
        <v>33</v>
      </c>
      <c r="G4331" s="9">
        <v>395</v>
      </c>
      <c r="H4331" s="5" t="s">
        <v>20</v>
      </c>
      <c r="I4331" s="5" t="s">
        <v>10101</v>
      </c>
      <c r="J4331" s="12" t="str">
        <f>HYPERLINK("https://www.boe.es/gazeta/dias/1807/04/14/pdfs/GMD-1807-33.pdf#page=11","Abrir facsímil")</f>
        <v>Abrir facsímil</v>
      </c>
      <c r="K4331" s="15" t="s">
        <v>22</v>
      </c>
    </row>
    <row r="4332" spans="1:11" ht="42" customHeight="1">
      <c r="A4332" s="4" t="s">
        <v>10102</v>
      </c>
      <c r="B4332" s="5" t="s">
        <v>10103</v>
      </c>
      <c r="C4332" s="5" t="s">
        <v>34</v>
      </c>
      <c r="D4332" s="5" t="s">
        <v>35</v>
      </c>
      <c r="E4332" s="5" t="s">
        <v>94</v>
      </c>
      <c r="F4332" s="9">
        <v>22</v>
      </c>
      <c r="G4332" s="9">
        <v>255</v>
      </c>
      <c r="H4332" s="5" t="s">
        <v>20</v>
      </c>
      <c r="I4332" s="5" t="s">
        <v>10104</v>
      </c>
      <c r="J4332" s="12" t="str">
        <f>HYPERLINK("https://www.boe.es/gazeta/dias/1807/03/06/pdfs/GMD-1807-22.pdf#page=7","Abrir facsímil")</f>
        <v>Abrir facsímil</v>
      </c>
      <c r="K4332" s="15" t="s">
        <v>22</v>
      </c>
    </row>
    <row r="4333" spans="1:11" ht="42" customHeight="1">
      <c r="A4333" s="4" t="s">
        <v>10105</v>
      </c>
      <c r="B4333" s="5" t="s">
        <v>10106</v>
      </c>
      <c r="C4333" s="5" t="s">
        <v>49</v>
      </c>
      <c r="D4333" s="5" t="s">
        <v>50</v>
      </c>
      <c r="E4333" s="5" t="s">
        <v>572</v>
      </c>
      <c r="F4333" s="9">
        <v>14</v>
      </c>
      <c r="G4333" s="9">
        <v>157</v>
      </c>
      <c r="H4333" s="5" t="s">
        <v>20</v>
      </c>
      <c r="I4333" s="5" t="s">
        <v>10107</v>
      </c>
      <c r="J4333" s="12" t="str">
        <f>HYPERLINK("https://www.boe.es/gazeta/dias/1807/02/10/pdfs/GMD-1807-14.pdf#page=5","Abrir facsímil")</f>
        <v>Abrir facsímil</v>
      </c>
      <c r="K4333" s="15" t="s">
        <v>22</v>
      </c>
    </row>
    <row r="4334" spans="1:11" ht="42" customHeight="1">
      <c r="A4334" s="4" t="s">
        <v>10108</v>
      </c>
      <c r="B4334" s="5" t="s">
        <v>10109</v>
      </c>
      <c r="C4334" s="5" t="s">
        <v>28</v>
      </c>
      <c r="D4334" s="5" t="s">
        <v>29</v>
      </c>
      <c r="E4334" s="5" t="s">
        <v>46</v>
      </c>
      <c r="F4334" s="9">
        <v>78</v>
      </c>
      <c r="G4334" s="9">
        <v>904</v>
      </c>
      <c r="H4334" s="5" t="s">
        <v>20</v>
      </c>
      <c r="I4334" s="5" t="s">
        <v>10110</v>
      </c>
      <c r="J4334" s="12" t="str">
        <f>HYPERLINK("https://www.boe.es/gazeta/dias/1807/09/01/pdfs/GMD-1807-78.pdf#page=8","Abrir facsímil")</f>
        <v>Abrir facsímil</v>
      </c>
      <c r="K4334" s="15" t="s">
        <v>22</v>
      </c>
    </row>
    <row r="4335" spans="1:11" ht="42" customHeight="1">
      <c r="A4335" s="4" t="s">
        <v>10111</v>
      </c>
      <c r="B4335" s="5" t="s">
        <v>10112</v>
      </c>
      <c r="C4335" s="5" t="s">
        <v>34</v>
      </c>
      <c r="D4335" s="5" t="s">
        <v>35</v>
      </c>
      <c r="E4335" s="5" t="s">
        <v>561</v>
      </c>
      <c r="F4335" s="9">
        <v>44</v>
      </c>
      <c r="G4335" s="9">
        <v>525</v>
      </c>
      <c r="H4335" s="5" t="s">
        <v>20</v>
      </c>
      <c r="I4335" s="5" t="s">
        <v>10113</v>
      </c>
      <c r="J4335" s="12" t="str">
        <f>HYPERLINK("https://www.boe.es/gazeta/dias/1807/05/22/pdfs/GMD-1807-44.pdf#page=7","Abrir facsímil")</f>
        <v>Abrir facsímil</v>
      </c>
      <c r="K4335" s="15" t="s">
        <v>22</v>
      </c>
    </row>
    <row r="4336" spans="1:11" ht="42" customHeight="1">
      <c r="A4336" s="4" t="s">
        <v>10114</v>
      </c>
      <c r="B4336" s="5" t="s">
        <v>10115</v>
      </c>
      <c r="C4336" s="5" t="s">
        <v>252</v>
      </c>
      <c r="D4336" s="5" t="s">
        <v>253</v>
      </c>
      <c r="E4336" s="5" t="s">
        <v>215</v>
      </c>
      <c r="F4336" s="9" t="s">
        <v>517</v>
      </c>
      <c r="G4336" s="9">
        <v>61</v>
      </c>
      <c r="H4336" s="5" t="s">
        <v>20</v>
      </c>
      <c r="I4336" s="5" t="s">
        <v>10116</v>
      </c>
      <c r="J4336" s="12" t="str">
        <f>HYPERLINK("https://www.boe.es/gazeta/dias/1807/01/16/pdfs/GMD-1807-6E.pdf#page=1","Abrir facsímil")</f>
        <v>Abrir facsímil</v>
      </c>
      <c r="K4336" s="15" t="s">
        <v>22</v>
      </c>
    </row>
    <row r="4337" spans="1:11" ht="42" customHeight="1">
      <c r="A4337" s="4" t="s">
        <v>10117</v>
      </c>
      <c r="B4337" s="5" t="s">
        <v>10118</v>
      </c>
      <c r="C4337" s="5" t="s">
        <v>89</v>
      </c>
      <c r="D4337" s="5" t="s">
        <v>90</v>
      </c>
      <c r="E4337" s="5" t="s">
        <v>620</v>
      </c>
      <c r="F4337" s="9">
        <v>84</v>
      </c>
      <c r="G4337" s="9">
        <v>984</v>
      </c>
      <c r="H4337" s="5" t="s">
        <v>20</v>
      </c>
      <c r="I4337" s="5" t="s">
        <v>10119</v>
      </c>
      <c r="J4337" s="12" t="str">
        <f>HYPERLINK("https://www.boe.es/gazeta/dias/1807/09/22/pdfs/GMD-1807-84.pdf#page=12","Abrir facsímil")</f>
        <v>Abrir facsímil</v>
      </c>
      <c r="K4337" s="15" t="s">
        <v>22</v>
      </c>
    </row>
    <row r="4338" spans="1:11" ht="42" customHeight="1">
      <c r="A4338" s="4" t="s">
        <v>10120</v>
      </c>
      <c r="B4338" s="5" t="s">
        <v>10121</v>
      </c>
      <c r="C4338" s="5" t="s">
        <v>34</v>
      </c>
      <c r="D4338" s="5" t="s">
        <v>35</v>
      </c>
      <c r="E4338" s="5" t="s">
        <v>426</v>
      </c>
      <c r="F4338" s="9">
        <v>93</v>
      </c>
      <c r="G4338" s="9">
        <v>1080</v>
      </c>
      <c r="H4338" s="5" t="s">
        <v>20</v>
      </c>
      <c r="I4338" s="5" t="s">
        <v>10122</v>
      </c>
      <c r="J4338" s="12" t="str">
        <f>HYPERLINK("https://www.boe.es/gazeta/dias/1807/10/16/pdfs/GMD-1807-93.pdf#page=8","Abrir facsímil")</f>
        <v>Abrir facsímil</v>
      </c>
      <c r="K4338" s="15" t="s">
        <v>22</v>
      </c>
    </row>
    <row r="4339" spans="1:11" ht="42" customHeight="1">
      <c r="A4339" s="4" t="s">
        <v>10123</v>
      </c>
      <c r="B4339" s="5" t="s">
        <v>10124</v>
      </c>
      <c r="C4339" s="5" t="s">
        <v>24</v>
      </c>
      <c r="D4339" s="5" t="s">
        <v>18</v>
      </c>
      <c r="E4339" s="5" t="s">
        <v>91</v>
      </c>
      <c r="F4339" s="9">
        <v>109</v>
      </c>
      <c r="G4339" s="9">
        <v>1274</v>
      </c>
      <c r="H4339" s="5" t="s">
        <v>20</v>
      </c>
      <c r="I4339" s="5" t="s">
        <v>10125</v>
      </c>
      <c r="J4339" s="12" t="str">
        <f>HYPERLINK("https://www.boe.es/gazeta/dias/1807/12/08/pdfs/GMD-1807-109.pdf#page=10","Abrir facsímil")</f>
        <v>Abrir facsímil</v>
      </c>
      <c r="K4339" s="15" t="s">
        <v>22</v>
      </c>
    </row>
    <row r="4340" spans="1:11" ht="42" customHeight="1">
      <c r="A4340" s="4" t="s">
        <v>10126</v>
      </c>
      <c r="B4340" s="5" t="s">
        <v>10127</v>
      </c>
      <c r="C4340" s="5" t="s">
        <v>34</v>
      </c>
      <c r="D4340" s="5" t="s">
        <v>35</v>
      </c>
      <c r="E4340" s="5" t="s">
        <v>94</v>
      </c>
      <c r="F4340" s="9">
        <v>22</v>
      </c>
      <c r="G4340" s="9">
        <v>254</v>
      </c>
      <c r="H4340" s="5" t="s">
        <v>20</v>
      </c>
      <c r="I4340" s="5" t="s">
        <v>10128</v>
      </c>
      <c r="J4340" s="12" t="str">
        <f>HYPERLINK("https://www.boe.es/gazeta/dias/1807/03/06/pdfs/GMD-1807-22.pdf#page=6","Abrir facsímil")</f>
        <v>Abrir facsímil</v>
      </c>
      <c r="K4340" s="15" t="s">
        <v>22</v>
      </c>
    </row>
    <row r="4341" spans="1:11" ht="42" customHeight="1">
      <c r="A4341" s="4" t="s">
        <v>10129</v>
      </c>
      <c r="B4341" s="5" t="s">
        <v>10130</v>
      </c>
      <c r="C4341" s="5" t="s">
        <v>24</v>
      </c>
      <c r="D4341" s="5" t="s">
        <v>18</v>
      </c>
      <c r="E4341" s="5" t="s">
        <v>215</v>
      </c>
      <c r="F4341" s="9">
        <v>5</v>
      </c>
      <c r="G4341" s="9">
        <v>51</v>
      </c>
      <c r="H4341" s="5" t="s">
        <v>20</v>
      </c>
      <c r="I4341" s="5" t="s">
        <v>10131</v>
      </c>
      <c r="J4341" s="12" t="str">
        <f>HYPERLINK("https://www.boe.es/gazeta/dias/1807/01/16/pdfs/GMD-1807-5.pdf#page=7","Abrir facsímil")</f>
        <v>Abrir facsímil</v>
      </c>
      <c r="K4341" s="15" t="s">
        <v>22</v>
      </c>
    </row>
    <row r="4342" spans="1:11" ht="42" customHeight="1">
      <c r="A4342" s="4" t="s">
        <v>10132</v>
      </c>
      <c r="B4342" s="5" t="s">
        <v>10133</v>
      </c>
      <c r="C4342" s="5" t="s">
        <v>34</v>
      </c>
      <c r="D4342" s="5" t="s">
        <v>35</v>
      </c>
      <c r="E4342" s="5" t="s">
        <v>666</v>
      </c>
      <c r="F4342" s="9">
        <v>43</v>
      </c>
      <c r="G4342" s="9">
        <v>515</v>
      </c>
      <c r="H4342" s="5" t="s">
        <v>20</v>
      </c>
      <c r="I4342" s="5" t="s">
        <v>10134</v>
      </c>
      <c r="J4342" s="12" t="str">
        <f>HYPERLINK("https://www.boe.es/gazeta/dias/1807/05/19/pdfs/GMD-1807-43.pdf#page=9","Abrir facsímil")</f>
        <v>Abrir facsímil</v>
      </c>
      <c r="K4342" s="15" t="s">
        <v>22</v>
      </c>
    </row>
    <row r="4343" spans="1:11" ht="42" customHeight="1">
      <c r="A4343" s="4" t="s">
        <v>10135</v>
      </c>
      <c r="B4343" s="5" t="s">
        <v>10136</v>
      </c>
      <c r="C4343" s="5" t="s">
        <v>28</v>
      </c>
      <c r="D4343" s="5" t="s">
        <v>29</v>
      </c>
      <c r="E4343" s="5" t="s">
        <v>478</v>
      </c>
      <c r="F4343" s="9">
        <v>30</v>
      </c>
      <c r="G4343" s="9">
        <v>360</v>
      </c>
      <c r="H4343" s="5" t="s">
        <v>20</v>
      </c>
      <c r="I4343" s="5" t="s">
        <v>10137</v>
      </c>
      <c r="J4343" s="12" t="str">
        <f>HYPERLINK("https://www.boe.es/gazeta/dias/1807/04/03/pdfs/GMD-1807-30.pdf#page=12","Abrir facsímil")</f>
        <v>Abrir facsímil</v>
      </c>
      <c r="K4343" s="15" t="s">
        <v>22</v>
      </c>
    </row>
    <row r="4344" spans="1:11" ht="42" customHeight="1">
      <c r="A4344" s="4" t="s">
        <v>10138</v>
      </c>
      <c r="B4344" s="5" t="s">
        <v>10139</v>
      </c>
      <c r="C4344" s="5" t="s">
        <v>17</v>
      </c>
      <c r="D4344" s="5" t="s">
        <v>18</v>
      </c>
      <c r="E4344" s="5" t="s">
        <v>418</v>
      </c>
      <c r="F4344" s="9">
        <v>4</v>
      </c>
      <c r="G4344" s="9">
        <v>40</v>
      </c>
      <c r="H4344" s="5" t="s">
        <v>20</v>
      </c>
      <c r="I4344" s="5" t="s">
        <v>10140</v>
      </c>
      <c r="J4344" s="12" t="str">
        <f>HYPERLINK("https://www.boe.es/gazeta/dias/1807/01/13/pdfs/GMD-1807-4.pdf#page=8","Abrir facsímil")</f>
        <v>Abrir facsímil</v>
      </c>
      <c r="K4344" s="15" t="s">
        <v>22</v>
      </c>
    </row>
    <row r="4345" spans="1:11" ht="42" customHeight="1">
      <c r="A4345" s="4" t="s">
        <v>10141</v>
      </c>
      <c r="B4345" s="5" t="s">
        <v>10142</v>
      </c>
      <c r="C4345" s="5" t="s">
        <v>34</v>
      </c>
      <c r="D4345" s="5" t="s">
        <v>35</v>
      </c>
      <c r="E4345" s="5" t="s">
        <v>219</v>
      </c>
      <c r="F4345" s="9">
        <v>56</v>
      </c>
      <c r="G4345" s="9">
        <v>669</v>
      </c>
      <c r="H4345" s="5" t="s">
        <v>20</v>
      </c>
      <c r="I4345" s="5" t="s">
        <v>10143</v>
      </c>
      <c r="J4345" s="12" t="str">
        <f>HYPERLINK("https://www.boe.es/gazeta/dias/1807/07/03/pdfs/GMD-1807-56.pdf#page=7","Abrir facsímil")</f>
        <v>Abrir facsímil</v>
      </c>
      <c r="K4345" s="15" t="s">
        <v>22</v>
      </c>
    </row>
    <row r="4346" spans="1:11" ht="42" customHeight="1">
      <c r="A4346" s="4" t="s">
        <v>10144</v>
      </c>
      <c r="B4346" s="5" t="s">
        <v>10145</v>
      </c>
      <c r="C4346" s="5" t="s">
        <v>34</v>
      </c>
      <c r="D4346" s="5" t="s">
        <v>35</v>
      </c>
      <c r="E4346" s="5" t="s">
        <v>40</v>
      </c>
      <c r="F4346" s="9">
        <v>26</v>
      </c>
      <c r="G4346" s="9">
        <v>313</v>
      </c>
      <c r="H4346" s="5" t="s">
        <v>20</v>
      </c>
      <c r="I4346" s="5" t="s">
        <v>10146</v>
      </c>
      <c r="J4346" s="12" t="str">
        <f>HYPERLINK("https://www.boe.es/gazeta/dias/1807/03/20/pdfs/GMD-1807-26.pdf#page=9","Abrir facsímil")</f>
        <v>Abrir facsímil</v>
      </c>
      <c r="K4346" s="15" t="s">
        <v>22</v>
      </c>
    </row>
    <row r="4347" spans="1:11" ht="42" customHeight="1">
      <c r="A4347" s="4" t="s">
        <v>10147</v>
      </c>
      <c r="B4347" s="5" t="s">
        <v>10148</v>
      </c>
      <c r="C4347" s="5" t="s">
        <v>34</v>
      </c>
      <c r="D4347" s="5" t="s">
        <v>35</v>
      </c>
      <c r="E4347" s="5" t="s">
        <v>53</v>
      </c>
      <c r="F4347" s="9">
        <v>64</v>
      </c>
      <c r="G4347" s="9">
        <v>746</v>
      </c>
      <c r="H4347" s="5" t="s">
        <v>20</v>
      </c>
      <c r="I4347" s="5" t="s">
        <v>10149</v>
      </c>
      <c r="J4347" s="12" t="str">
        <f>HYPERLINK("https://www.boe.es/gazeta/dias/1807/07/21/pdfs/GMD-1807-64.pdf#page=8","Abrir facsímil")</f>
        <v>Abrir facsímil</v>
      </c>
      <c r="K4347" s="15" t="s">
        <v>22</v>
      </c>
    </row>
    <row r="4348" spans="1:11" ht="42" customHeight="1">
      <c r="A4348" s="4" t="s">
        <v>10150</v>
      </c>
      <c r="B4348" s="5" t="s">
        <v>10150</v>
      </c>
      <c r="C4348" s="5" t="s">
        <v>34</v>
      </c>
      <c r="D4348" s="5" t="s">
        <v>35</v>
      </c>
      <c r="E4348" s="5" t="s">
        <v>296</v>
      </c>
      <c r="F4348" s="9">
        <v>102</v>
      </c>
      <c r="G4348" s="9">
        <v>1189</v>
      </c>
      <c r="H4348" s="5" t="s">
        <v>20</v>
      </c>
      <c r="I4348" s="5" t="s">
        <v>10151</v>
      </c>
      <c r="J4348" s="12" t="str">
        <f>HYPERLINK("https://www.boe.es/gazeta/dias/1807/11/17/pdfs/GMD-1807-102.pdf#page=9","Abrir facsímil")</f>
        <v>Abrir facsímil</v>
      </c>
      <c r="K4348" s="15" t="s">
        <v>22</v>
      </c>
    </row>
    <row r="4349" spans="1:11" ht="42" customHeight="1">
      <c r="A4349" s="4" t="s">
        <v>10152</v>
      </c>
      <c r="B4349" s="5" t="s">
        <v>10153</v>
      </c>
      <c r="C4349" s="5" t="s">
        <v>252</v>
      </c>
      <c r="D4349" s="5" t="s">
        <v>253</v>
      </c>
      <c r="E4349" s="5" t="s">
        <v>534</v>
      </c>
      <c r="F4349" s="9" t="s">
        <v>535</v>
      </c>
      <c r="G4349" s="9">
        <v>97</v>
      </c>
      <c r="H4349" s="5" t="s">
        <v>20</v>
      </c>
      <c r="I4349" s="5" t="s">
        <v>10154</v>
      </c>
      <c r="J4349" s="12" t="str">
        <f>HYPERLINK("https://www.boe.es/gazeta/dias/1807/01/24/pdfs/GMD-1807-9E.pdf#page=1","Abrir facsímil")</f>
        <v>Abrir facsímil</v>
      </c>
      <c r="K4349" s="15" t="s">
        <v>22</v>
      </c>
    </row>
    <row r="4350" spans="1:11" ht="42" customHeight="1">
      <c r="A4350" s="4" t="s">
        <v>10155</v>
      </c>
      <c r="B4350" s="5" t="s">
        <v>10155</v>
      </c>
      <c r="C4350" s="5" t="s">
        <v>34</v>
      </c>
      <c r="D4350" s="5" t="s">
        <v>35</v>
      </c>
      <c r="E4350" s="5" t="s">
        <v>350</v>
      </c>
      <c r="F4350" s="9">
        <v>112</v>
      </c>
      <c r="G4350" s="9">
        <v>1306</v>
      </c>
      <c r="H4350" s="5" t="s">
        <v>20</v>
      </c>
      <c r="I4350" s="5" t="s">
        <v>10156</v>
      </c>
      <c r="J4350" s="12" t="str">
        <f>HYPERLINK("https://www.boe.es/gazeta/dias/1807/12/18/pdfs/GMD-1807-112.pdf#page=6","Abrir facsímil")</f>
        <v>Abrir facsímil</v>
      </c>
      <c r="K4350" s="15" t="s">
        <v>22</v>
      </c>
    </row>
    <row r="4351" spans="1:11" ht="42" customHeight="1">
      <c r="A4351" s="4" t="s">
        <v>10157</v>
      </c>
      <c r="B4351" s="5" t="s">
        <v>10158</v>
      </c>
      <c r="C4351" s="5" t="s">
        <v>34</v>
      </c>
      <c r="D4351" s="5" t="s">
        <v>35</v>
      </c>
      <c r="E4351" s="5" t="s">
        <v>471</v>
      </c>
      <c r="F4351" s="9">
        <v>51</v>
      </c>
      <c r="G4351" s="9">
        <v>606</v>
      </c>
      <c r="H4351" s="5" t="s">
        <v>20</v>
      </c>
      <c r="I4351" s="5" t="s">
        <v>10159</v>
      </c>
      <c r="J4351" s="12" t="str">
        <f>HYPERLINK("https://www.boe.es/gazeta/dias/1807/06/16/pdfs/GMD-1807-51.pdf#page=8","Abrir facsímil")</f>
        <v>Abrir facsímil</v>
      </c>
      <c r="K4351" s="15" t="s">
        <v>22</v>
      </c>
    </row>
    <row r="4352" spans="1:11" ht="42" customHeight="1">
      <c r="A4352" s="4" t="s">
        <v>10160</v>
      </c>
      <c r="B4352" s="5" t="s">
        <v>10161</v>
      </c>
      <c r="C4352" s="5" t="s">
        <v>89</v>
      </c>
      <c r="D4352" s="5" t="s">
        <v>90</v>
      </c>
      <c r="E4352" s="5" t="s">
        <v>62</v>
      </c>
      <c r="F4352" s="9">
        <v>68</v>
      </c>
      <c r="G4352" s="9">
        <v>781</v>
      </c>
      <c r="H4352" s="5" t="s">
        <v>20</v>
      </c>
      <c r="I4352" s="5" t="s">
        <v>10162</v>
      </c>
      <c r="J4352" s="12" t="str">
        <f>HYPERLINK("https://www.boe.es/gazeta/dias/1807/07/31/pdfs/GMD-1807-68.pdf#page=5","Abrir facsímil")</f>
        <v>Abrir facsímil</v>
      </c>
      <c r="K4352" s="15" t="s">
        <v>22</v>
      </c>
    </row>
    <row r="4353" spans="1:11" ht="42" customHeight="1">
      <c r="A4353" s="4" t="s">
        <v>10163</v>
      </c>
      <c r="B4353" s="5" t="s">
        <v>10164</v>
      </c>
      <c r="C4353" s="5" t="s">
        <v>17</v>
      </c>
      <c r="D4353" s="5" t="s">
        <v>18</v>
      </c>
      <c r="E4353" s="5" t="s">
        <v>120</v>
      </c>
      <c r="F4353" s="9">
        <v>10</v>
      </c>
      <c r="G4353" s="9">
        <v>111</v>
      </c>
      <c r="H4353" s="5" t="s">
        <v>20</v>
      </c>
      <c r="I4353" s="5" t="s">
        <v>10165</v>
      </c>
      <c r="J4353" s="12" t="str">
        <f>HYPERLINK("https://www.boe.es/gazeta/dias/1807/01/27/pdfs/GMD-1807-10.pdf#page=7","Abrir facsímil")</f>
        <v>Abrir facsímil</v>
      </c>
      <c r="K4353" s="15" t="s">
        <v>22</v>
      </c>
    </row>
    <row r="4354" spans="1:11" ht="42" customHeight="1">
      <c r="A4354" s="4" t="s">
        <v>10166</v>
      </c>
      <c r="B4354" s="5" t="s">
        <v>10167</v>
      </c>
      <c r="C4354" s="5" t="s">
        <v>34</v>
      </c>
      <c r="D4354" s="5" t="s">
        <v>35</v>
      </c>
      <c r="E4354" s="5" t="s">
        <v>111</v>
      </c>
      <c r="F4354" s="9">
        <v>90</v>
      </c>
      <c r="G4354" s="9">
        <v>1044</v>
      </c>
      <c r="H4354" s="5" t="s">
        <v>20</v>
      </c>
      <c r="I4354" s="5" t="s">
        <v>10168</v>
      </c>
      <c r="J4354" s="12" t="str">
        <f>HYPERLINK("https://www.boe.es/gazeta/dias/1807/10/06/pdfs/GMD-1807-90.pdf#page=12","Abrir facsímil")</f>
        <v>Abrir facsímil</v>
      </c>
      <c r="K4354" s="15" t="s">
        <v>22</v>
      </c>
    </row>
    <row r="4355" spans="1:11" ht="42" customHeight="1">
      <c r="A4355" s="4" t="s">
        <v>10169</v>
      </c>
      <c r="B4355" s="5" t="s">
        <v>10170</v>
      </c>
      <c r="C4355" s="5" t="s">
        <v>34</v>
      </c>
      <c r="D4355" s="5" t="s">
        <v>35</v>
      </c>
      <c r="E4355" s="5" t="s">
        <v>321</v>
      </c>
      <c r="F4355" s="9">
        <v>75</v>
      </c>
      <c r="G4355" s="9">
        <v>867</v>
      </c>
      <c r="H4355" s="5" t="s">
        <v>20</v>
      </c>
      <c r="I4355" s="5" t="s">
        <v>10171</v>
      </c>
      <c r="J4355" s="12" t="str">
        <f>HYPERLINK("https://www.boe.es/gazeta/dias/1807/08/21/pdfs/GMD-1807-75.pdf#page=7","Abrir facsímil")</f>
        <v>Abrir facsímil</v>
      </c>
      <c r="K4355" s="15" t="s">
        <v>22</v>
      </c>
    </row>
    <row r="4356" spans="1:11" ht="42" customHeight="1">
      <c r="A4356" s="4" t="s">
        <v>10172</v>
      </c>
      <c r="B4356" s="5" t="s">
        <v>10173</v>
      </c>
      <c r="C4356" s="5" t="s">
        <v>28</v>
      </c>
      <c r="D4356" s="5" t="s">
        <v>29</v>
      </c>
      <c r="E4356" s="5" t="s">
        <v>572</v>
      </c>
      <c r="F4356" s="9">
        <v>14</v>
      </c>
      <c r="G4356" s="9">
        <v>163</v>
      </c>
      <c r="H4356" s="5" t="s">
        <v>20</v>
      </c>
      <c r="I4356" s="5" t="s">
        <v>10174</v>
      </c>
      <c r="J4356" s="12" t="str">
        <f>HYPERLINK("https://www.boe.es/gazeta/dias/1807/02/10/pdfs/GMD-1807-14.pdf#page=11","Abrir facsímil")</f>
        <v>Abrir facsímil</v>
      </c>
      <c r="K4356" s="15" t="s">
        <v>22</v>
      </c>
    </row>
    <row r="4357" spans="1:11" ht="42" customHeight="1">
      <c r="A4357" s="4" t="s">
        <v>10175</v>
      </c>
      <c r="B4357" s="5" t="s">
        <v>10176</v>
      </c>
      <c r="C4357" s="5" t="s">
        <v>24</v>
      </c>
      <c r="D4357" s="5" t="s">
        <v>18</v>
      </c>
      <c r="E4357" s="5" t="s">
        <v>666</v>
      </c>
      <c r="F4357" s="9">
        <v>43</v>
      </c>
      <c r="G4357" s="9">
        <v>516</v>
      </c>
      <c r="H4357" s="5" t="s">
        <v>20</v>
      </c>
      <c r="I4357" s="5" t="s">
        <v>10177</v>
      </c>
      <c r="J4357" s="12" t="str">
        <f>HYPERLINK("https://www.boe.es/gazeta/dias/1807/05/19/pdfs/GMD-1807-43.pdf#page=10","Abrir facsímil")</f>
        <v>Abrir facsímil</v>
      </c>
      <c r="K4357" s="15" t="s">
        <v>22</v>
      </c>
    </row>
    <row r="4358" spans="1:11" ht="42" customHeight="1">
      <c r="A4358" s="4" t="s">
        <v>10175</v>
      </c>
      <c r="B4358" s="5" t="s">
        <v>10176</v>
      </c>
      <c r="C4358" s="5" t="s">
        <v>24</v>
      </c>
      <c r="D4358" s="5" t="s">
        <v>18</v>
      </c>
      <c r="E4358" s="5" t="s">
        <v>65</v>
      </c>
      <c r="F4358" s="9">
        <v>52</v>
      </c>
      <c r="G4358" s="9">
        <v>622</v>
      </c>
      <c r="H4358" s="5" t="s">
        <v>20</v>
      </c>
      <c r="I4358" s="5" t="s">
        <v>10178</v>
      </c>
      <c r="J4358" s="12" t="str">
        <f>HYPERLINK("https://www.boe.es/gazeta/dias/1807/06/19/pdfs/GMD-1807-52.pdf#page=12","Abrir facsímil")</f>
        <v>Abrir facsímil</v>
      </c>
      <c r="K4358" s="15" t="s">
        <v>22</v>
      </c>
    </row>
    <row r="4359" spans="1:11" ht="42" customHeight="1">
      <c r="A4359" s="4" t="s">
        <v>10175</v>
      </c>
      <c r="B4359" s="5" t="s">
        <v>10176</v>
      </c>
      <c r="C4359" s="5" t="s">
        <v>24</v>
      </c>
      <c r="D4359" s="5" t="s">
        <v>18</v>
      </c>
      <c r="E4359" s="5" t="s">
        <v>595</v>
      </c>
      <c r="F4359" s="9">
        <v>59</v>
      </c>
      <c r="G4359" s="9">
        <v>704</v>
      </c>
      <c r="H4359" s="5" t="s">
        <v>20</v>
      </c>
      <c r="I4359" s="5" t="s">
        <v>10179</v>
      </c>
      <c r="J4359" s="12" t="str">
        <f>HYPERLINK("https://www.boe.es/gazeta/dias/1807/07/10/pdfs/GMD-1807-59.pdf#page=10","Abrir facsímil")</f>
        <v>Abrir facsímil</v>
      </c>
      <c r="K4359" s="15" t="s">
        <v>22</v>
      </c>
    </row>
    <row r="4360" spans="1:11" ht="42" customHeight="1">
      <c r="A4360" s="4" t="s">
        <v>10175</v>
      </c>
      <c r="B4360" s="5" t="s">
        <v>10176</v>
      </c>
      <c r="C4360" s="5" t="s">
        <v>24</v>
      </c>
      <c r="D4360" s="5" t="s">
        <v>18</v>
      </c>
      <c r="E4360" s="5" t="s">
        <v>266</v>
      </c>
      <c r="F4360" s="9">
        <v>67</v>
      </c>
      <c r="G4360" s="9">
        <v>774</v>
      </c>
      <c r="H4360" s="5" t="s">
        <v>20</v>
      </c>
      <c r="I4360" s="5" t="s">
        <v>10180</v>
      </c>
      <c r="J4360" s="12" t="str">
        <f>HYPERLINK("https://www.boe.es/gazeta/dias/1807/07/28/pdfs/GMD-1807-67.pdf#page=10","Abrir facsímil")</f>
        <v>Abrir facsímil</v>
      </c>
      <c r="K4360" s="15" t="s">
        <v>22</v>
      </c>
    </row>
    <row r="4361" spans="1:11" ht="42" customHeight="1">
      <c r="A4361" s="4" t="s">
        <v>10181</v>
      </c>
      <c r="B4361" s="5" t="s">
        <v>10182</v>
      </c>
      <c r="C4361" s="5" t="s">
        <v>28</v>
      </c>
      <c r="D4361" s="5" t="s">
        <v>29</v>
      </c>
      <c r="E4361" s="5" t="s">
        <v>464</v>
      </c>
      <c r="F4361" s="9">
        <v>18</v>
      </c>
      <c r="G4361" s="9">
        <v>212</v>
      </c>
      <c r="H4361" s="5" t="s">
        <v>20</v>
      </c>
      <c r="I4361" s="5" t="s">
        <v>10183</v>
      </c>
      <c r="J4361" s="12" t="str">
        <f>HYPERLINK("https://www.boe.es/gazeta/dias/1807/02/24/pdfs/GMD-1807-18.pdf#page=12","Abrir facsímil")</f>
        <v>Abrir facsímil</v>
      </c>
      <c r="K4361" s="15" t="s">
        <v>22</v>
      </c>
    </row>
    <row r="4362" spans="1:11" ht="42" customHeight="1">
      <c r="A4362" s="4" t="s">
        <v>10184</v>
      </c>
      <c r="B4362" s="5" t="s">
        <v>10185</v>
      </c>
      <c r="C4362" s="5" t="s">
        <v>28</v>
      </c>
      <c r="D4362" s="5" t="s">
        <v>29</v>
      </c>
      <c r="E4362" s="5" t="s">
        <v>46</v>
      </c>
      <c r="F4362" s="9">
        <v>78</v>
      </c>
      <c r="G4362" s="9">
        <v>904</v>
      </c>
      <c r="H4362" s="5" t="s">
        <v>20</v>
      </c>
      <c r="I4362" s="5" t="s">
        <v>10186</v>
      </c>
      <c r="J4362" s="12" t="str">
        <f>HYPERLINK("https://www.boe.es/gazeta/dias/1807/09/01/pdfs/GMD-1807-78.pdf#page=8","Abrir facsímil")</f>
        <v>Abrir facsímil</v>
      </c>
      <c r="K4362" s="15" t="s">
        <v>22</v>
      </c>
    </row>
    <row r="4363" spans="1:11" ht="42" customHeight="1">
      <c r="A4363" s="4" t="s">
        <v>10187</v>
      </c>
      <c r="B4363" s="5" t="s">
        <v>10188</v>
      </c>
      <c r="C4363" s="5" t="s">
        <v>34</v>
      </c>
      <c r="D4363" s="5" t="s">
        <v>35</v>
      </c>
      <c r="E4363" s="5" t="s">
        <v>131</v>
      </c>
      <c r="F4363" s="9">
        <v>28</v>
      </c>
      <c r="G4363" s="9">
        <v>334</v>
      </c>
      <c r="H4363" s="5" t="s">
        <v>20</v>
      </c>
      <c r="I4363" s="5" t="s">
        <v>10189</v>
      </c>
      <c r="J4363" s="12" t="str">
        <f>HYPERLINK("https://www.boe.es/gazeta/dias/1807/03/27/pdfs/GMD-1807-28.pdf#page=6","Abrir facsímil")</f>
        <v>Abrir facsímil</v>
      </c>
      <c r="K4363" s="15" t="s">
        <v>22</v>
      </c>
    </row>
    <row r="4364" spans="1:11" ht="42" customHeight="1">
      <c r="A4364" s="4" t="s">
        <v>10190</v>
      </c>
      <c r="B4364" s="5" t="s">
        <v>10191</v>
      </c>
      <c r="C4364" s="5" t="s">
        <v>34</v>
      </c>
      <c r="D4364" s="5" t="s">
        <v>35</v>
      </c>
      <c r="E4364" s="5" t="s">
        <v>19</v>
      </c>
      <c r="F4364" s="9">
        <v>41</v>
      </c>
      <c r="G4364" s="9">
        <v>489</v>
      </c>
      <c r="H4364" s="5" t="s">
        <v>20</v>
      </c>
      <c r="I4364" s="5" t="s">
        <v>10192</v>
      </c>
      <c r="J4364" s="12" t="str">
        <f>HYPERLINK("https://www.boe.es/gazeta/dias/1807/05/12/pdfs/GMD-1807-41.pdf#page=7","Abrir facsímil")</f>
        <v>Abrir facsímil</v>
      </c>
      <c r="K4364" s="15" t="s">
        <v>22</v>
      </c>
    </row>
    <row r="4365" spans="1:11" ht="42" customHeight="1">
      <c r="A4365" s="4" t="s">
        <v>10193</v>
      </c>
      <c r="B4365" s="5" t="s">
        <v>10194</v>
      </c>
      <c r="C4365" s="5" t="s">
        <v>17</v>
      </c>
      <c r="D4365" s="5" t="s">
        <v>18</v>
      </c>
      <c r="E4365" s="5" t="s">
        <v>346</v>
      </c>
      <c r="F4365" s="9">
        <v>21</v>
      </c>
      <c r="G4365" s="9">
        <v>244</v>
      </c>
      <c r="H4365" s="5" t="s">
        <v>20</v>
      </c>
      <c r="I4365" s="5" t="s">
        <v>10195</v>
      </c>
      <c r="J4365" s="12" t="str">
        <f>HYPERLINK("https://www.boe.es/gazeta/dias/1807/03/03/pdfs/GMD-1807-21.pdf#page=8","Abrir facsímil")</f>
        <v>Abrir facsímil</v>
      </c>
      <c r="K4365" s="15" t="s">
        <v>22</v>
      </c>
    </row>
    <row r="4366" spans="1:11" ht="42" customHeight="1">
      <c r="A4366" s="4" t="s">
        <v>10196</v>
      </c>
      <c r="B4366" s="5" t="s">
        <v>10197</v>
      </c>
      <c r="C4366" s="5" t="s">
        <v>89</v>
      </c>
      <c r="D4366" s="5" t="s">
        <v>90</v>
      </c>
      <c r="E4366" s="5" t="s">
        <v>139</v>
      </c>
      <c r="F4366" s="9">
        <v>110</v>
      </c>
      <c r="G4366" s="9">
        <v>1288</v>
      </c>
      <c r="H4366" s="5" t="s">
        <v>20</v>
      </c>
      <c r="I4366" s="5" t="s">
        <v>10198</v>
      </c>
      <c r="J4366" s="12" t="str">
        <f>HYPERLINK("https://www.boe.es/gazeta/dias/1807/12/11/pdfs/GMD-1807-110.pdf#page=12","Abrir facsímil")</f>
        <v>Abrir facsímil</v>
      </c>
      <c r="K4366" s="15" t="s">
        <v>22</v>
      </c>
    </row>
    <row r="4367" spans="1:11" ht="42" customHeight="1">
      <c r="A4367" s="4" t="s">
        <v>10199</v>
      </c>
      <c r="B4367" s="5" t="s">
        <v>10200</v>
      </c>
      <c r="C4367" s="5" t="s">
        <v>34</v>
      </c>
      <c r="D4367" s="5" t="s">
        <v>35</v>
      </c>
      <c r="E4367" s="5" t="s">
        <v>296</v>
      </c>
      <c r="F4367" s="9">
        <v>102</v>
      </c>
      <c r="G4367" s="9">
        <v>1189</v>
      </c>
      <c r="H4367" s="5" t="s">
        <v>20</v>
      </c>
      <c r="I4367" s="5" t="s">
        <v>10201</v>
      </c>
      <c r="J4367" s="12" t="str">
        <f>HYPERLINK("https://www.boe.es/gazeta/dias/1807/11/17/pdfs/GMD-1807-102.pdf#page=9","Abrir facsímil")</f>
        <v>Abrir facsímil</v>
      </c>
      <c r="K4367" s="15" t="s">
        <v>22</v>
      </c>
    </row>
    <row r="4368" spans="1:11" ht="42" customHeight="1">
      <c r="A4368" s="4" t="s">
        <v>10202</v>
      </c>
      <c r="B4368" s="5" t="s">
        <v>10203</v>
      </c>
      <c r="C4368" s="5" t="s">
        <v>34</v>
      </c>
      <c r="D4368" s="5" t="s">
        <v>35</v>
      </c>
      <c r="E4368" s="5" t="s">
        <v>167</v>
      </c>
      <c r="F4368" s="9">
        <v>77</v>
      </c>
      <c r="G4368" s="9">
        <v>892</v>
      </c>
      <c r="H4368" s="5" t="s">
        <v>20</v>
      </c>
      <c r="I4368" s="5" t="s">
        <v>10204</v>
      </c>
      <c r="J4368" s="12" t="str">
        <f>HYPERLINK("https://www.boe.es/gazeta/dias/1807/08/28/pdfs/GMD-1807-77.pdf#page=8","Abrir facsímil")</f>
        <v>Abrir facsímil</v>
      </c>
      <c r="K4368" s="15" t="s">
        <v>22</v>
      </c>
    </row>
    <row r="4369" spans="1:11" ht="42" customHeight="1">
      <c r="A4369" s="4" t="s">
        <v>10205</v>
      </c>
      <c r="B4369" s="5" t="s">
        <v>10206</v>
      </c>
      <c r="C4369" s="5" t="s">
        <v>34</v>
      </c>
      <c r="D4369" s="5" t="s">
        <v>35</v>
      </c>
      <c r="E4369" s="5" t="s">
        <v>319</v>
      </c>
      <c r="F4369" s="9">
        <v>54</v>
      </c>
      <c r="G4369" s="9">
        <v>645</v>
      </c>
      <c r="H4369" s="5" t="s">
        <v>20</v>
      </c>
      <c r="I4369" s="5" t="s">
        <v>10207</v>
      </c>
      <c r="J4369" s="12" t="str">
        <f>HYPERLINK("https://www.boe.es/gazeta/dias/1807/06/26/pdfs/GMD-1807-54.pdf#page=7","Abrir facsímil")</f>
        <v>Abrir facsímil</v>
      </c>
      <c r="K4369" s="15" t="s">
        <v>22</v>
      </c>
    </row>
    <row r="4370" spans="1:11" ht="42" customHeight="1">
      <c r="A4370" s="4" t="s">
        <v>10208</v>
      </c>
      <c r="B4370" s="5" t="s">
        <v>10209</v>
      </c>
      <c r="C4370" s="5" t="s">
        <v>28</v>
      </c>
      <c r="D4370" s="5" t="s">
        <v>29</v>
      </c>
      <c r="E4370" s="5" t="s">
        <v>346</v>
      </c>
      <c r="F4370" s="9">
        <v>21</v>
      </c>
      <c r="G4370" s="9">
        <v>245</v>
      </c>
      <c r="H4370" s="5" t="s">
        <v>20</v>
      </c>
      <c r="I4370" s="5" t="s">
        <v>10210</v>
      </c>
      <c r="J4370" s="12" t="str">
        <f>HYPERLINK("https://www.boe.es/gazeta/dias/1807/03/03/pdfs/GMD-1807-21.pdf#page=9","Abrir facsímil")</f>
        <v>Abrir facsímil</v>
      </c>
      <c r="K4370" s="15" t="s">
        <v>22</v>
      </c>
    </row>
    <row r="4371" spans="1:11" ht="42" customHeight="1">
      <c r="A4371" s="4" t="s">
        <v>10211</v>
      </c>
      <c r="B4371" s="5" t="s">
        <v>10212</v>
      </c>
      <c r="C4371" s="5" t="s">
        <v>34</v>
      </c>
      <c r="D4371" s="5" t="s">
        <v>35</v>
      </c>
      <c r="E4371" s="5" t="s">
        <v>321</v>
      </c>
      <c r="F4371" s="9">
        <v>75</v>
      </c>
      <c r="G4371" s="9">
        <v>867</v>
      </c>
      <c r="H4371" s="5" t="s">
        <v>20</v>
      </c>
      <c r="I4371" s="5" t="s">
        <v>10213</v>
      </c>
      <c r="J4371" s="12" t="str">
        <f>HYPERLINK("https://www.boe.es/gazeta/dias/1807/08/21/pdfs/GMD-1807-75.pdf#page=7","Abrir facsímil")</f>
        <v>Abrir facsímil</v>
      </c>
      <c r="K4371" s="15" t="s">
        <v>22</v>
      </c>
    </row>
    <row r="4372" spans="1:11" ht="42" customHeight="1">
      <c r="A4372" s="4" t="s">
        <v>10214</v>
      </c>
      <c r="B4372" s="5" t="s">
        <v>10215</v>
      </c>
      <c r="C4372" s="5" t="s">
        <v>34</v>
      </c>
      <c r="D4372" s="5" t="s">
        <v>35</v>
      </c>
      <c r="E4372" s="5" t="s">
        <v>471</v>
      </c>
      <c r="F4372" s="9">
        <v>51</v>
      </c>
      <c r="G4372" s="9">
        <v>605</v>
      </c>
      <c r="H4372" s="5" t="s">
        <v>20</v>
      </c>
      <c r="I4372" s="5" t="s">
        <v>10216</v>
      </c>
      <c r="J4372" s="12" t="str">
        <f>HYPERLINK("https://www.boe.es/gazeta/dias/1807/06/16/pdfs/GMD-1807-51.pdf#page=7","Abrir facsímil")</f>
        <v>Abrir facsímil</v>
      </c>
      <c r="K4372" s="15" t="s">
        <v>22</v>
      </c>
    </row>
    <row r="4373" spans="1:11" ht="42" customHeight="1">
      <c r="A4373" s="4" t="s">
        <v>10217</v>
      </c>
      <c r="B4373" s="5" t="s">
        <v>10218</v>
      </c>
      <c r="C4373" s="5" t="s">
        <v>34</v>
      </c>
      <c r="D4373" s="5" t="s">
        <v>35</v>
      </c>
      <c r="E4373" s="5" t="s">
        <v>1076</v>
      </c>
      <c r="F4373" s="9">
        <v>96</v>
      </c>
      <c r="G4373" s="9">
        <v>1118</v>
      </c>
      <c r="H4373" s="5" t="s">
        <v>20</v>
      </c>
      <c r="I4373" s="5" t="s">
        <v>10219</v>
      </c>
      <c r="J4373" s="12" t="str">
        <f>HYPERLINK("https://www.boe.es/gazeta/dias/1807/10/27/pdfs/GMD-1807-96.pdf#page=10","Abrir facsímil")</f>
        <v>Abrir facsímil</v>
      </c>
      <c r="K4373" s="15" t="s">
        <v>22</v>
      </c>
    </row>
    <row r="4374" spans="1:11" ht="42" customHeight="1">
      <c r="A4374" s="4" t="s">
        <v>10220</v>
      </c>
      <c r="B4374" s="5" t="s">
        <v>10221</v>
      </c>
      <c r="C4374" s="5" t="s">
        <v>17</v>
      </c>
      <c r="D4374" s="5" t="s">
        <v>18</v>
      </c>
      <c r="E4374" s="5" t="s">
        <v>426</v>
      </c>
      <c r="F4374" s="9">
        <v>93</v>
      </c>
      <c r="G4374" s="9">
        <v>1083</v>
      </c>
      <c r="H4374" s="5" t="s">
        <v>20</v>
      </c>
      <c r="I4374" s="5" t="s">
        <v>10222</v>
      </c>
      <c r="J4374" s="12" t="str">
        <f>HYPERLINK("https://www.boe.es/gazeta/dias/1807/10/16/pdfs/GMD-1807-93.pdf#page=11","Abrir facsímil")</f>
        <v>Abrir facsímil</v>
      </c>
      <c r="K4374" s="15" t="s">
        <v>22</v>
      </c>
    </row>
    <row r="4375" spans="1:11" ht="42" customHeight="1">
      <c r="A4375" s="4" t="s">
        <v>10223</v>
      </c>
      <c r="B4375" s="5" t="s">
        <v>10224</v>
      </c>
      <c r="C4375" s="5" t="s">
        <v>34</v>
      </c>
      <c r="D4375" s="5" t="s">
        <v>35</v>
      </c>
      <c r="E4375" s="5" t="s">
        <v>471</v>
      </c>
      <c r="F4375" s="9">
        <v>51</v>
      </c>
      <c r="G4375" s="9">
        <v>606</v>
      </c>
      <c r="H4375" s="5" t="s">
        <v>20</v>
      </c>
      <c r="I4375" s="5" t="s">
        <v>10225</v>
      </c>
      <c r="J4375" s="12" t="str">
        <f>HYPERLINK("https://www.boe.es/gazeta/dias/1807/06/16/pdfs/GMD-1807-51.pdf#page=8","Abrir facsímil")</f>
        <v>Abrir facsímil</v>
      </c>
      <c r="K4375" s="15" t="s">
        <v>22</v>
      </c>
    </row>
    <row r="4376" spans="1:11" ht="42" customHeight="1">
      <c r="A4376" s="4" t="s">
        <v>10226</v>
      </c>
      <c r="B4376" s="5" t="s">
        <v>10226</v>
      </c>
      <c r="C4376" s="5" t="s">
        <v>28</v>
      </c>
      <c r="D4376" s="5" t="s">
        <v>29</v>
      </c>
      <c r="E4376" s="5" t="s">
        <v>1340</v>
      </c>
      <c r="F4376" s="9">
        <v>114</v>
      </c>
      <c r="G4376" s="9">
        <v>1331</v>
      </c>
      <c r="H4376" s="5" t="s">
        <v>20</v>
      </c>
      <c r="I4376" s="5" t="s">
        <v>10227</v>
      </c>
      <c r="J4376" s="12" t="str">
        <f>HYPERLINK("https://www.boe.es/gazeta/dias/1807/12/25/pdfs/GMD-1807-114.pdf#page=7","Abrir facsímil")</f>
        <v>Abrir facsímil</v>
      </c>
      <c r="K4376" s="15" t="s">
        <v>22</v>
      </c>
    </row>
    <row r="4377" spans="1:11" ht="42" customHeight="1">
      <c r="A4377" s="4" t="s">
        <v>10228</v>
      </c>
      <c r="B4377" s="5" t="s">
        <v>10229</v>
      </c>
      <c r="C4377" s="5" t="s">
        <v>34</v>
      </c>
      <c r="D4377" s="5" t="s">
        <v>35</v>
      </c>
      <c r="E4377" s="5" t="s">
        <v>461</v>
      </c>
      <c r="F4377" s="9">
        <v>99</v>
      </c>
      <c r="G4377" s="9">
        <v>1156</v>
      </c>
      <c r="H4377" s="5" t="s">
        <v>20</v>
      </c>
      <c r="I4377" s="5" t="s">
        <v>10230</v>
      </c>
      <c r="J4377" s="12" t="str">
        <f>HYPERLINK("https://www.boe.es/gazeta/dias/1807/11/06/pdfs/GMD-1807-99.pdf#page=12","Abrir facsímil")</f>
        <v>Abrir facsímil</v>
      </c>
      <c r="K4377" s="15" t="s">
        <v>22</v>
      </c>
    </row>
    <row r="4378" spans="1:11" ht="42" customHeight="1">
      <c r="A4378" s="4" t="s">
        <v>10231</v>
      </c>
      <c r="B4378" s="5" t="s">
        <v>10232</v>
      </c>
      <c r="C4378" s="5" t="s">
        <v>89</v>
      </c>
      <c r="D4378" s="5" t="s">
        <v>90</v>
      </c>
      <c r="E4378" s="5" t="s">
        <v>346</v>
      </c>
      <c r="F4378" s="9">
        <v>21</v>
      </c>
      <c r="G4378" s="9">
        <v>248</v>
      </c>
      <c r="H4378" s="5" t="s">
        <v>20</v>
      </c>
      <c r="I4378" s="5" t="s">
        <v>10233</v>
      </c>
      <c r="J4378" s="12" t="str">
        <f>HYPERLINK("https://www.boe.es/gazeta/dias/1807/03/03/pdfs/GMD-1807-21.pdf#page=12","Abrir facsímil")</f>
        <v>Abrir facsímil</v>
      </c>
      <c r="K4378" s="15" t="s">
        <v>22</v>
      </c>
    </row>
    <row r="4379" spans="1:11" ht="42" customHeight="1">
      <c r="A4379" s="4" t="s">
        <v>10234</v>
      </c>
      <c r="B4379" s="5" t="s">
        <v>10235</v>
      </c>
      <c r="C4379" s="5" t="s">
        <v>252</v>
      </c>
      <c r="D4379" s="5" t="s">
        <v>253</v>
      </c>
      <c r="E4379" s="5" t="s">
        <v>314</v>
      </c>
      <c r="F4379" s="9" t="s">
        <v>315</v>
      </c>
      <c r="G4379" s="9">
        <v>1223</v>
      </c>
      <c r="H4379" s="5" t="s">
        <v>20</v>
      </c>
      <c r="I4379" s="5" t="s">
        <v>10236</v>
      </c>
      <c r="J4379" s="12" t="str">
        <f>HYPERLINK("https://www.boe.es/gazeta/dias/1807/11/26/pdfs/GMD-1807-105E.pdf#page=7","Abrir facsímil")</f>
        <v>Abrir facsímil</v>
      </c>
      <c r="K4379" s="15" t="s">
        <v>22</v>
      </c>
    </row>
    <row r="4380" spans="1:11" ht="42" customHeight="1">
      <c r="A4380" s="4" t="s">
        <v>10237</v>
      </c>
      <c r="B4380" s="5" t="s">
        <v>10237</v>
      </c>
      <c r="C4380" s="5" t="s">
        <v>49</v>
      </c>
      <c r="D4380" s="5" t="s">
        <v>50</v>
      </c>
      <c r="E4380" s="5" t="s">
        <v>581</v>
      </c>
      <c r="F4380" s="9">
        <v>71</v>
      </c>
      <c r="G4380" s="9">
        <v>812</v>
      </c>
      <c r="H4380" s="5" t="s">
        <v>20</v>
      </c>
      <c r="I4380" s="5" t="s">
        <v>10238</v>
      </c>
      <c r="J4380" s="12" t="str">
        <f>HYPERLINK("https://www.boe.es/gazeta/dias/1807/08/07/pdfs/GMD-1807-71.pdf#page=4","Abrir facsímil")</f>
        <v>Abrir facsímil</v>
      </c>
      <c r="K4380" s="15" t="s">
        <v>22</v>
      </c>
    </row>
    <row r="4381" spans="1:11" ht="42" customHeight="1">
      <c r="A4381" s="4" t="s">
        <v>10239</v>
      </c>
      <c r="B4381" s="5" t="s">
        <v>10239</v>
      </c>
      <c r="C4381" s="5" t="s">
        <v>24</v>
      </c>
      <c r="D4381" s="5" t="s">
        <v>18</v>
      </c>
      <c r="E4381" s="5" t="s">
        <v>4786</v>
      </c>
      <c r="F4381" s="9" t="s">
        <v>4787</v>
      </c>
      <c r="G4381" s="9">
        <v>1015</v>
      </c>
      <c r="H4381" s="5" t="s">
        <v>20</v>
      </c>
      <c r="I4381" s="5" t="s">
        <v>10240</v>
      </c>
      <c r="J4381" s="12" t="str">
        <f>HYPERLINK("https://www.boe.es/gazeta/dias/1807/09/30/pdfs/GMD-1807-88E.pdf#page=3","Abrir facsímil")</f>
        <v>Abrir facsímil</v>
      </c>
      <c r="K4381" s="15" t="s">
        <v>22</v>
      </c>
    </row>
    <row r="4382" spans="1:11" ht="42" customHeight="1">
      <c r="A4382" s="4" t="s">
        <v>10241</v>
      </c>
      <c r="B4382" s="5" t="s">
        <v>10241</v>
      </c>
      <c r="C4382" s="5" t="s">
        <v>49</v>
      </c>
      <c r="D4382" s="5" t="s">
        <v>50</v>
      </c>
      <c r="E4382" s="5" t="s">
        <v>346</v>
      </c>
      <c r="F4382" s="9">
        <v>21</v>
      </c>
      <c r="G4382" s="9">
        <v>240</v>
      </c>
      <c r="H4382" s="5" t="s">
        <v>20</v>
      </c>
      <c r="I4382" s="5" t="s">
        <v>10242</v>
      </c>
      <c r="J4382" s="12" t="str">
        <f>HYPERLINK("https://www.boe.es/gazeta/dias/1807/03/03/pdfs/GMD-1807-21.pdf#page=4","Abrir facsímil")</f>
        <v>Abrir facsímil</v>
      </c>
      <c r="K4382" s="15" t="s">
        <v>22</v>
      </c>
    </row>
    <row r="4383" spans="1:11" ht="42" customHeight="1">
      <c r="A4383" s="4" t="s">
        <v>10243</v>
      </c>
      <c r="B4383" s="5" t="s">
        <v>10243</v>
      </c>
      <c r="C4383" s="5" t="s">
        <v>252</v>
      </c>
      <c r="D4383" s="5" t="s">
        <v>253</v>
      </c>
      <c r="E4383" s="5" t="s">
        <v>4786</v>
      </c>
      <c r="F4383" s="9" t="s">
        <v>4787</v>
      </c>
      <c r="G4383" s="9">
        <v>1013</v>
      </c>
      <c r="H4383" s="5" t="s">
        <v>20</v>
      </c>
      <c r="I4383" s="5" t="s">
        <v>10244</v>
      </c>
      <c r="J4383" s="12" t="str">
        <f>HYPERLINK("https://www.boe.es/gazeta/dias/1807/09/30/pdfs/GMD-1807-88E.pdf#page=1","Abrir facsímil")</f>
        <v>Abrir facsímil</v>
      </c>
      <c r="K4383" s="15" t="s">
        <v>22</v>
      </c>
    </row>
    <row r="4384" spans="1:11" ht="42" customHeight="1">
      <c r="A4384" s="4" t="s">
        <v>10243</v>
      </c>
      <c r="B4384" s="5" t="s">
        <v>10243</v>
      </c>
      <c r="C4384" s="5" t="s">
        <v>252</v>
      </c>
      <c r="D4384" s="5" t="s">
        <v>253</v>
      </c>
      <c r="E4384" s="5" t="s">
        <v>4786</v>
      </c>
      <c r="F4384" s="9" t="s">
        <v>4787</v>
      </c>
      <c r="G4384" s="9">
        <v>1014</v>
      </c>
      <c r="H4384" s="5" t="s">
        <v>20</v>
      </c>
      <c r="I4384" s="5" t="s">
        <v>10245</v>
      </c>
      <c r="J4384" s="12" t="str">
        <f>HYPERLINK("https://www.boe.es/gazeta/dias/1807/09/30/pdfs/GMD-1807-88E.pdf#page=2","Abrir facsímil")</f>
        <v>Abrir facsímil</v>
      </c>
      <c r="K4384" s="15" t="s">
        <v>22</v>
      </c>
    </row>
    <row r="4385" spans="1:11" ht="42" customHeight="1">
      <c r="A4385" s="4" t="s">
        <v>10243</v>
      </c>
      <c r="B4385" s="5" t="s">
        <v>10243</v>
      </c>
      <c r="C4385" s="5" t="s">
        <v>34</v>
      </c>
      <c r="D4385" s="5" t="s">
        <v>35</v>
      </c>
      <c r="E4385" s="5" t="s">
        <v>4786</v>
      </c>
      <c r="F4385" s="9" t="s">
        <v>4787</v>
      </c>
      <c r="G4385" s="9">
        <v>1015</v>
      </c>
      <c r="H4385" s="5" t="s">
        <v>20</v>
      </c>
      <c r="I4385" s="5" t="s">
        <v>10246</v>
      </c>
      <c r="J4385" s="12" t="str">
        <f>HYPERLINK("https://www.boe.es/gazeta/dias/1807/09/30/pdfs/GMD-1807-88E.pdf#page=3","Abrir facsímil")</f>
        <v>Abrir facsímil</v>
      </c>
      <c r="K4385" s="15" t="s">
        <v>22</v>
      </c>
    </row>
    <row r="4386" spans="1:11" ht="42" customHeight="1">
      <c r="A4386" s="4" t="s">
        <v>10243</v>
      </c>
      <c r="B4386" s="5" t="s">
        <v>10243</v>
      </c>
      <c r="C4386" s="5" t="s">
        <v>49</v>
      </c>
      <c r="D4386" s="5" t="s">
        <v>50</v>
      </c>
      <c r="E4386" s="5" t="s">
        <v>111</v>
      </c>
      <c r="F4386" s="9">
        <v>90</v>
      </c>
      <c r="G4386" s="9">
        <v>1039</v>
      </c>
      <c r="H4386" s="5" t="s">
        <v>20</v>
      </c>
      <c r="I4386" s="5" t="s">
        <v>10247</v>
      </c>
      <c r="J4386" s="12" t="str">
        <f>HYPERLINK("https://www.boe.es/gazeta/dias/1807/10/06/pdfs/GMD-1807-90.pdf#page=7","Abrir facsímil")</f>
        <v>Abrir facsímil</v>
      </c>
      <c r="K4386" s="15" t="s">
        <v>22</v>
      </c>
    </row>
    <row r="4387" spans="1:11" ht="42" customHeight="1">
      <c r="A4387" s="4" t="s">
        <v>10243</v>
      </c>
      <c r="B4387" s="5" t="s">
        <v>10243</v>
      </c>
      <c r="C4387" s="5" t="s">
        <v>49</v>
      </c>
      <c r="D4387" s="5" t="s">
        <v>50</v>
      </c>
      <c r="E4387" s="5" t="s">
        <v>111</v>
      </c>
      <c r="F4387" s="9">
        <v>90</v>
      </c>
      <c r="G4387" s="9">
        <v>1040</v>
      </c>
      <c r="H4387" s="5" t="s">
        <v>20</v>
      </c>
      <c r="I4387" s="5" t="s">
        <v>10248</v>
      </c>
      <c r="J4387" s="12" t="str">
        <f>HYPERLINK("https://www.boe.es/gazeta/dias/1807/10/06/pdfs/GMD-1807-90.pdf#page=8","Abrir facsímil")</f>
        <v>Abrir facsímil</v>
      </c>
      <c r="K4387" s="15" t="s">
        <v>22</v>
      </c>
    </row>
    <row r="4388" spans="1:11" ht="42" customHeight="1">
      <c r="A4388" s="4" t="s">
        <v>10249</v>
      </c>
      <c r="B4388" s="5" t="s">
        <v>10249</v>
      </c>
      <c r="C4388" s="5" t="s">
        <v>34</v>
      </c>
      <c r="D4388" s="5" t="s">
        <v>35</v>
      </c>
      <c r="E4388" s="5" t="s">
        <v>464</v>
      </c>
      <c r="F4388" s="9">
        <v>18</v>
      </c>
      <c r="G4388" s="9">
        <v>206</v>
      </c>
      <c r="H4388" s="5" t="s">
        <v>20</v>
      </c>
      <c r="I4388" s="5" t="s">
        <v>10250</v>
      </c>
      <c r="J4388" s="12" t="str">
        <f>HYPERLINK("https://www.boe.es/gazeta/dias/1807/02/24/pdfs/GMD-1807-18.pdf#page=6","Abrir facsímil")</f>
        <v>Abrir facsímil</v>
      </c>
      <c r="K4388" s="15" t="s">
        <v>22</v>
      </c>
    </row>
    <row r="4389" spans="1:11" ht="42" customHeight="1">
      <c r="A4389" s="4" t="s">
        <v>10249</v>
      </c>
      <c r="B4389" s="5" t="s">
        <v>10249</v>
      </c>
      <c r="C4389" s="5" t="s">
        <v>49</v>
      </c>
      <c r="D4389" s="5" t="s">
        <v>50</v>
      </c>
      <c r="E4389" s="5" t="s">
        <v>131</v>
      </c>
      <c r="F4389" s="9">
        <v>28</v>
      </c>
      <c r="G4389" s="9">
        <v>330</v>
      </c>
      <c r="H4389" s="5" t="s">
        <v>20</v>
      </c>
      <c r="I4389" s="5" t="s">
        <v>10251</v>
      </c>
      <c r="J4389" s="12" t="str">
        <f>HYPERLINK("https://www.boe.es/gazeta/dias/1807/03/27/pdfs/GMD-1807-28.pdf#page=2","Abrir facsímil")</f>
        <v>Abrir facsímil</v>
      </c>
      <c r="K4389" s="15" t="s">
        <v>22</v>
      </c>
    </row>
    <row r="4390" spans="1:11" ht="42" customHeight="1">
      <c r="A4390" s="4" t="s">
        <v>10249</v>
      </c>
      <c r="B4390" s="5" t="s">
        <v>10249</v>
      </c>
      <c r="C4390" s="5" t="s">
        <v>49</v>
      </c>
      <c r="D4390" s="5" t="s">
        <v>50</v>
      </c>
      <c r="E4390" s="5" t="s">
        <v>109</v>
      </c>
      <c r="F4390" s="9">
        <v>58</v>
      </c>
      <c r="G4390" s="9">
        <v>686</v>
      </c>
      <c r="H4390" s="5" t="s">
        <v>20</v>
      </c>
      <c r="I4390" s="5" t="s">
        <v>10252</v>
      </c>
      <c r="J4390" s="12" t="str">
        <f>HYPERLINK("https://www.boe.es/gazeta/dias/1807/07/07/pdfs/GMD-1807-58.pdf#page=4","Abrir facsímil")</f>
        <v>Abrir facsímil</v>
      </c>
      <c r="K4390" s="15" t="s">
        <v>22</v>
      </c>
    </row>
    <row r="4391" spans="1:11" ht="42" customHeight="1">
      <c r="A4391" s="4" t="s">
        <v>10249</v>
      </c>
      <c r="B4391" s="5" t="s">
        <v>10249</v>
      </c>
      <c r="C4391" s="5" t="s">
        <v>49</v>
      </c>
      <c r="D4391" s="5" t="s">
        <v>50</v>
      </c>
      <c r="E4391" s="5" t="s">
        <v>595</v>
      </c>
      <c r="F4391" s="9">
        <v>59</v>
      </c>
      <c r="G4391" s="9">
        <v>699</v>
      </c>
      <c r="H4391" s="5" t="s">
        <v>20</v>
      </c>
      <c r="I4391" s="5" t="s">
        <v>10253</v>
      </c>
      <c r="J4391" s="12" t="str">
        <f>HYPERLINK("https://www.boe.es/gazeta/dias/1807/07/10/pdfs/GMD-1807-59.pdf#page=5","Abrir facsímil")</f>
        <v>Abrir facsímil</v>
      </c>
      <c r="K4391" s="15" t="s">
        <v>22</v>
      </c>
    </row>
    <row r="4392" spans="1:11" ht="42" customHeight="1">
      <c r="A4392" s="4" t="s">
        <v>10249</v>
      </c>
      <c r="B4392" s="5" t="s">
        <v>10249</v>
      </c>
      <c r="C4392" s="5" t="s">
        <v>49</v>
      </c>
      <c r="D4392" s="5" t="s">
        <v>50</v>
      </c>
      <c r="E4392" s="5" t="s">
        <v>221</v>
      </c>
      <c r="F4392" s="9">
        <v>73</v>
      </c>
      <c r="G4392" s="9">
        <v>840</v>
      </c>
      <c r="H4392" s="5" t="s">
        <v>20</v>
      </c>
      <c r="I4392" s="5" t="s">
        <v>10254</v>
      </c>
      <c r="J4392" s="12" t="str">
        <f>HYPERLINK("https://www.boe.es/gazeta/dias/1807/08/14/pdfs/GMD-1807-73.pdf#page=4","Abrir facsímil")</f>
        <v>Abrir facsímil</v>
      </c>
      <c r="K4392" s="15" t="s">
        <v>22</v>
      </c>
    </row>
    <row r="4393" spans="1:11" ht="42" customHeight="1">
      <c r="A4393" s="4" t="s">
        <v>10249</v>
      </c>
      <c r="B4393" s="5" t="s">
        <v>10249</v>
      </c>
      <c r="C4393" s="5" t="s">
        <v>49</v>
      </c>
      <c r="D4393" s="5" t="s">
        <v>50</v>
      </c>
      <c r="E4393" s="5" t="s">
        <v>241</v>
      </c>
      <c r="F4393" s="9">
        <v>76</v>
      </c>
      <c r="G4393" s="9">
        <v>877</v>
      </c>
      <c r="H4393" s="5" t="s">
        <v>20</v>
      </c>
      <c r="I4393" s="5" t="s">
        <v>10255</v>
      </c>
      <c r="J4393" s="12" t="str">
        <f>HYPERLINK("https://www.boe.es/gazeta/dias/1807/08/25/pdfs/GMD-1807-76.pdf#page=5","Abrir facsímil")</f>
        <v>Abrir facsímil</v>
      </c>
      <c r="K4393" s="15" t="s">
        <v>22</v>
      </c>
    </row>
    <row r="4394" spans="1:11" ht="42" customHeight="1">
      <c r="A4394" s="4" t="s">
        <v>10249</v>
      </c>
      <c r="B4394" s="5" t="s">
        <v>10249</v>
      </c>
      <c r="C4394" s="5" t="s">
        <v>49</v>
      </c>
      <c r="D4394" s="5" t="s">
        <v>50</v>
      </c>
      <c r="E4394" s="5" t="s">
        <v>361</v>
      </c>
      <c r="F4394" s="9">
        <v>113</v>
      </c>
      <c r="G4394" s="9">
        <v>1317</v>
      </c>
      <c r="H4394" s="5" t="s">
        <v>20</v>
      </c>
      <c r="I4394" s="5" t="s">
        <v>10256</v>
      </c>
      <c r="J4394" s="12" t="str">
        <f>HYPERLINK("https://www.boe.es/gazeta/dias/1807/12/22/pdfs/GMD-1807-113.pdf#page=5","Abrir facsímil")</f>
        <v>Abrir facsímil</v>
      </c>
      <c r="K4394" s="15" t="s">
        <v>22</v>
      </c>
    </row>
    <row r="4395" spans="1:11" ht="42" customHeight="1">
      <c r="A4395" s="4" t="s">
        <v>10257</v>
      </c>
      <c r="B4395" s="5" t="s">
        <v>10258</v>
      </c>
      <c r="C4395" s="5" t="s">
        <v>34</v>
      </c>
      <c r="D4395" s="5" t="s">
        <v>35</v>
      </c>
      <c r="E4395" s="5" t="s">
        <v>346</v>
      </c>
      <c r="F4395" s="9">
        <v>21</v>
      </c>
      <c r="G4395" s="9">
        <v>248</v>
      </c>
      <c r="H4395" s="5" t="s">
        <v>20</v>
      </c>
      <c r="I4395" s="5" t="s">
        <v>10259</v>
      </c>
      <c r="J4395" s="12" t="str">
        <f>HYPERLINK("https://www.boe.es/gazeta/dias/1807/03/03/pdfs/GMD-1807-21.pdf#page=12","Abrir facsímil")</f>
        <v>Abrir facsímil</v>
      </c>
      <c r="K4395" s="15" t="s">
        <v>22</v>
      </c>
    </row>
    <row r="4396" spans="1:11" ht="42" customHeight="1">
      <c r="A4396" s="4" t="s">
        <v>10260</v>
      </c>
      <c r="B4396" s="5" t="s">
        <v>10261</v>
      </c>
      <c r="C4396" s="5" t="s">
        <v>34</v>
      </c>
      <c r="D4396" s="5" t="s">
        <v>35</v>
      </c>
      <c r="E4396" s="5" t="s">
        <v>131</v>
      </c>
      <c r="F4396" s="9">
        <v>28</v>
      </c>
      <c r="G4396" s="9">
        <v>334</v>
      </c>
      <c r="H4396" s="5" t="s">
        <v>20</v>
      </c>
      <c r="I4396" s="5" t="s">
        <v>10262</v>
      </c>
      <c r="J4396" s="12" t="str">
        <f>HYPERLINK("https://www.boe.es/gazeta/dias/1807/03/27/pdfs/GMD-1807-28.pdf#page=6","Abrir facsímil")</f>
        <v>Abrir facsímil</v>
      </c>
      <c r="K4396" s="15" t="s">
        <v>22</v>
      </c>
    </row>
    <row r="4397" spans="1:11" ht="42" customHeight="1">
      <c r="A4397" s="4" t="s">
        <v>10263</v>
      </c>
      <c r="B4397" s="5" t="s">
        <v>10264</v>
      </c>
      <c r="C4397" s="5" t="s">
        <v>24</v>
      </c>
      <c r="D4397" s="5" t="s">
        <v>18</v>
      </c>
      <c r="E4397" s="5" t="s">
        <v>1934</v>
      </c>
      <c r="F4397" s="9">
        <v>2</v>
      </c>
      <c r="G4397" s="9">
        <v>19</v>
      </c>
      <c r="H4397" s="5" t="s">
        <v>20</v>
      </c>
      <c r="I4397" s="5" t="s">
        <v>10265</v>
      </c>
      <c r="J4397" s="12" t="str">
        <f>HYPERLINK("https://www.boe.es/gazeta/dias/1807/01/06/pdfs/GMD-1807-2.pdf#page=7","Abrir facsímil")</f>
        <v>Abrir facsímil</v>
      </c>
      <c r="K4397" s="15" t="s">
        <v>22</v>
      </c>
    </row>
    <row r="4398" spans="1:11" ht="42" customHeight="1">
      <c r="A4398" s="4" t="s">
        <v>10266</v>
      </c>
      <c r="B4398" s="5" t="s">
        <v>10267</v>
      </c>
      <c r="C4398" s="5" t="s">
        <v>24</v>
      </c>
      <c r="D4398" s="5" t="s">
        <v>18</v>
      </c>
      <c r="E4398" s="5" t="s">
        <v>30</v>
      </c>
      <c r="F4398" s="9">
        <v>13</v>
      </c>
      <c r="G4398" s="9">
        <v>149</v>
      </c>
      <c r="H4398" s="5" t="s">
        <v>20</v>
      </c>
      <c r="I4398" s="5" t="s">
        <v>10268</v>
      </c>
      <c r="J4398" s="12" t="str">
        <f>HYPERLINK("https://www.boe.es/gazeta/dias/1807/02/06/pdfs/GMD-1807-13.pdf#page=9","Abrir facsímil")</f>
        <v>Abrir facsímil</v>
      </c>
      <c r="K4398" s="15" t="s">
        <v>22</v>
      </c>
    </row>
    <row r="4399" spans="1:11" ht="42" customHeight="1">
      <c r="A4399" s="4" t="s">
        <v>10269</v>
      </c>
      <c r="B4399" s="5" t="s">
        <v>10270</v>
      </c>
      <c r="C4399" s="5" t="s">
        <v>17</v>
      </c>
      <c r="D4399" s="5" t="s">
        <v>18</v>
      </c>
      <c r="E4399" s="5" t="s">
        <v>42</v>
      </c>
      <c r="F4399" s="9">
        <v>31</v>
      </c>
      <c r="G4399" s="9">
        <v>368</v>
      </c>
      <c r="H4399" s="5" t="s">
        <v>20</v>
      </c>
      <c r="I4399" s="5" t="s">
        <v>10271</v>
      </c>
      <c r="J4399" s="12" t="str">
        <f>HYPERLINK("https://www.boe.es/gazeta/dias/1807/04/07/pdfs/GMD-1807-31.pdf#page=8","Abrir facsímil")</f>
        <v>Abrir facsímil</v>
      </c>
      <c r="K4399" s="15" t="s">
        <v>22</v>
      </c>
    </row>
    <row r="4400" spans="1:11" ht="42" customHeight="1">
      <c r="A4400" s="4" t="s">
        <v>10272</v>
      </c>
      <c r="B4400" s="5" t="s">
        <v>10273</v>
      </c>
      <c r="C4400" s="5" t="s">
        <v>17</v>
      </c>
      <c r="D4400" s="5" t="s">
        <v>18</v>
      </c>
      <c r="E4400" s="5" t="s">
        <v>111</v>
      </c>
      <c r="F4400" s="9">
        <v>90</v>
      </c>
      <c r="G4400" s="9">
        <v>1044</v>
      </c>
      <c r="H4400" s="5" t="s">
        <v>20</v>
      </c>
      <c r="I4400" s="5" t="s">
        <v>10274</v>
      </c>
      <c r="J4400" s="12" t="str">
        <f>HYPERLINK("https://www.boe.es/gazeta/dias/1807/10/06/pdfs/GMD-1807-90.pdf#page=12","Abrir facsímil")</f>
        <v>Abrir facsímil</v>
      </c>
      <c r="K4400" s="15" t="s">
        <v>22</v>
      </c>
    </row>
    <row r="4401" spans="1:11" ht="42" customHeight="1">
      <c r="A4401" s="4" t="s">
        <v>10275</v>
      </c>
      <c r="B4401" s="5" t="s">
        <v>10276</v>
      </c>
      <c r="C4401" s="5" t="s">
        <v>34</v>
      </c>
      <c r="D4401" s="5" t="s">
        <v>35</v>
      </c>
      <c r="E4401" s="5" t="s">
        <v>464</v>
      </c>
      <c r="F4401" s="9">
        <v>18</v>
      </c>
      <c r="G4401" s="9">
        <v>212</v>
      </c>
      <c r="H4401" s="5" t="s">
        <v>20</v>
      </c>
      <c r="I4401" s="5" t="s">
        <v>10277</v>
      </c>
      <c r="J4401" s="12" t="str">
        <f>HYPERLINK("https://www.boe.es/gazeta/dias/1807/02/24/pdfs/GMD-1807-18.pdf#page=12","Abrir facsímil")</f>
        <v>Abrir facsímil</v>
      </c>
      <c r="K4401" s="15" t="s">
        <v>22</v>
      </c>
    </row>
    <row r="4402" spans="1:11" ht="42" customHeight="1">
      <c r="A4402" s="4" t="s">
        <v>10275</v>
      </c>
      <c r="B4402" s="5" t="s">
        <v>10276</v>
      </c>
      <c r="C4402" s="5" t="s">
        <v>34</v>
      </c>
      <c r="D4402" s="5" t="s">
        <v>35</v>
      </c>
      <c r="E4402" s="5" t="s">
        <v>1354</v>
      </c>
      <c r="F4402" s="9">
        <v>83</v>
      </c>
      <c r="G4402" s="9">
        <v>969</v>
      </c>
      <c r="H4402" s="5" t="s">
        <v>20</v>
      </c>
      <c r="I4402" s="5" t="s">
        <v>10278</v>
      </c>
      <c r="J4402" s="12" t="str">
        <f>HYPERLINK("https://www.boe.es/gazeta/dias/1807/09/18/pdfs/GMD-1807-83.pdf#page=9","Abrir facsímil")</f>
        <v>Abrir facsímil</v>
      </c>
      <c r="K4402" s="15" t="s">
        <v>22</v>
      </c>
    </row>
    <row r="4403" spans="1:11" ht="42" customHeight="1">
      <c r="A4403" s="4" t="s">
        <v>10279</v>
      </c>
      <c r="B4403" s="5" t="s">
        <v>10280</v>
      </c>
      <c r="C4403" s="5" t="s">
        <v>34</v>
      </c>
      <c r="D4403" s="5" t="s">
        <v>35</v>
      </c>
      <c r="E4403" s="5" t="s">
        <v>346</v>
      </c>
      <c r="F4403" s="9">
        <v>21</v>
      </c>
      <c r="G4403" s="9">
        <v>245</v>
      </c>
      <c r="H4403" s="5" t="s">
        <v>20</v>
      </c>
      <c r="I4403" s="5" t="s">
        <v>10281</v>
      </c>
      <c r="J4403" s="12" t="str">
        <f>HYPERLINK("https://www.boe.es/gazeta/dias/1807/03/03/pdfs/GMD-1807-21.pdf#page=9","Abrir facsímil")</f>
        <v>Abrir facsímil</v>
      </c>
      <c r="K4403" s="15" t="s">
        <v>22</v>
      </c>
    </row>
    <row r="4404" spans="1:11" ht="42" customHeight="1">
      <c r="A4404" s="4" t="s">
        <v>10282</v>
      </c>
      <c r="B4404" s="5" t="s">
        <v>10283</v>
      </c>
      <c r="C4404" s="5" t="s">
        <v>34</v>
      </c>
      <c r="D4404" s="5" t="s">
        <v>35</v>
      </c>
      <c r="E4404" s="5" t="s">
        <v>111</v>
      </c>
      <c r="F4404" s="9">
        <v>90</v>
      </c>
      <c r="G4404" s="9">
        <v>1044</v>
      </c>
      <c r="H4404" s="5" t="s">
        <v>20</v>
      </c>
      <c r="I4404" s="5" t="s">
        <v>10284</v>
      </c>
      <c r="J4404" s="12" t="str">
        <f>HYPERLINK("https://www.boe.es/gazeta/dias/1807/10/06/pdfs/GMD-1807-90.pdf#page=12","Abrir facsímil")</f>
        <v>Abrir facsímil</v>
      </c>
      <c r="K4404" s="15" t="s">
        <v>22</v>
      </c>
    </row>
    <row r="4405" spans="1:11" ht="42" customHeight="1">
      <c r="A4405" s="4" t="s">
        <v>10285</v>
      </c>
      <c r="B4405" s="5" t="s">
        <v>10286</v>
      </c>
      <c r="C4405" s="5" t="s">
        <v>24</v>
      </c>
      <c r="D4405" s="5" t="s">
        <v>18</v>
      </c>
      <c r="E4405" s="5" t="s">
        <v>135</v>
      </c>
      <c r="F4405" s="9">
        <v>80</v>
      </c>
      <c r="G4405" s="9">
        <v>933</v>
      </c>
      <c r="H4405" s="5" t="s">
        <v>20</v>
      </c>
      <c r="I4405" s="5" t="s">
        <v>10287</v>
      </c>
      <c r="J4405" s="12" t="str">
        <f>HYPERLINK("https://www.boe.es/gazeta/dias/1807/09/08/pdfs/GMD-1807-80.pdf#page=9","Abrir facsímil")</f>
        <v>Abrir facsímil</v>
      </c>
      <c r="K4405" s="15" t="s">
        <v>22</v>
      </c>
    </row>
    <row r="4406" spans="1:11" ht="42" customHeight="1">
      <c r="A4406" s="4" t="s">
        <v>10288</v>
      </c>
      <c r="B4406" s="5" t="s">
        <v>10289</v>
      </c>
      <c r="C4406" s="5" t="s">
        <v>28</v>
      </c>
      <c r="D4406" s="5" t="s">
        <v>29</v>
      </c>
      <c r="E4406" s="5" t="s">
        <v>42</v>
      </c>
      <c r="F4406" s="9">
        <v>31</v>
      </c>
      <c r="G4406" s="9">
        <v>367</v>
      </c>
      <c r="H4406" s="5" t="s">
        <v>20</v>
      </c>
      <c r="I4406" s="5" t="s">
        <v>10290</v>
      </c>
      <c r="J4406" s="12" t="str">
        <f>HYPERLINK("https://www.boe.es/gazeta/dias/1807/04/07/pdfs/GMD-1807-31.pdf#page=7","Abrir facsímil")</f>
        <v>Abrir facsímil</v>
      </c>
      <c r="K4406" s="15" t="s">
        <v>22</v>
      </c>
    </row>
    <row r="4407" spans="1:11" ht="42" customHeight="1">
      <c r="A4407" s="4" t="s">
        <v>10288</v>
      </c>
      <c r="B4407" s="5" t="s">
        <v>10289</v>
      </c>
      <c r="C4407" s="5" t="s">
        <v>28</v>
      </c>
      <c r="D4407" s="5" t="s">
        <v>29</v>
      </c>
      <c r="E4407" s="5" t="s">
        <v>186</v>
      </c>
      <c r="F4407" s="9">
        <v>72</v>
      </c>
      <c r="G4407" s="9">
        <v>828</v>
      </c>
      <c r="H4407" s="5" t="s">
        <v>20</v>
      </c>
      <c r="I4407" s="5" t="s">
        <v>10291</v>
      </c>
      <c r="J4407" s="12" t="str">
        <f>HYPERLINK("https://www.boe.es/gazeta/dias/1807/08/11/pdfs/GMD-1807-72.pdf#page=8","Abrir facsímil")</f>
        <v>Abrir facsímil</v>
      </c>
      <c r="K4407" s="15" t="s">
        <v>22</v>
      </c>
    </row>
    <row r="4408" spans="1:11" ht="42" customHeight="1">
      <c r="A4408" s="4" t="s">
        <v>10292</v>
      </c>
      <c r="B4408" s="5" t="s">
        <v>10293</v>
      </c>
      <c r="C4408" s="5" t="s">
        <v>17</v>
      </c>
      <c r="D4408" s="5" t="s">
        <v>18</v>
      </c>
      <c r="E4408" s="5" t="s">
        <v>361</v>
      </c>
      <c r="F4408" s="9">
        <v>113</v>
      </c>
      <c r="G4408" s="9">
        <v>1322</v>
      </c>
      <c r="H4408" s="5" t="s">
        <v>20</v>
      </c>
      <c r="I4408" s="5" t="s">
        <v>10294</v>
      </c>
      <c r="J4408" s="12" t="str">
        <f>HYPERLINK("https://www.boe.es/gazeta/dias/1807/12/22/pdfs/GMD-1807-113.pdf#page=10","Abrir facsímil")</f>
        <v>Abrir facsímil</v>
      </c>
      <c r="K4408" s="15" t="s">
        <v>22</v>
      </c>
    </row>
    <row r="4409" spans="1:11" ht="42" customHeight="1">
      <c r="A4409" s="4" t="s">
        <v>10295</v>
      </c>
      <c r="B4409" s="5" t="s">
        <v>10296</v>
      </c>
      <c r="C4409" s="5" t="s">
        <v>28</v>
      </c>
      <c r="D4409" s="5" t="s">
        <v>29</v>
      </c>
      <c r="E4409" s="5" t="s">
        <v>101</v>
      </c>
      <c r="F4409" s="9">
        <v>23</v>
      </c>
      <c r="G4409" s="9">
        <v>271</v>
      </c>
      <c r="H4409" s="5" t="s">
        <v>20</v>
      </c>
      <c r="I4409" s="5" t="s">
        <v>10297</v>
      </c>
      <c r="J4409" s="12" t="str">
        <f>HYPERLINK("https://www.boe.es/gazeta/dias/1807/03/10/pdfs/GMD-1807-23.pdf#page=11","Abrir facsímil")</f>
        <v>Abrir facsímil</v>
      </c>
      <c r="K4409" s="15" t="s">
        <v>22</v>
      </c>
    </row>
    <row r="4410" spans="1:11" ht="42" customHeight="1">
      <c r="A4410" s="4" t="s">
        <v>10298</v>
      </c>
      <c r="B4410" s="5" t="s">
        <v>10299</v>
      </c>
      <c r="C4410" s="5" t="s">
        <v>34</v>
      </c>
      <c r="D4410" s="5" t="s">
        <v>35</v>
      </c>
      <c r="E4410" s="5" t="s">
        <v>139</v>
      </c>
      <c r="F4410" s="9">
        <v>110</v>
      </c>
      <c r="G4410" s="9">
        <v>1284</v>
      </c>
      <c r="H4410" s="5" t="s">
        <v>20</v>
      </c>
      <c r="I4410" s="5" t="s">
        <v>10300</v>
      </c>
      <c r="J4410" s="12" t="str">
        <f>HYPERLINK("https://www.boe.es/gazeta/dias/1807/12/11/pdfs/GMD-1807-110.pdf#page=8","Abrir facsímil")</f>
        <v>Abrir facsímil</v>
      </c>
      <c r="K4410" s="15" t="s">
        <v>22</v>
      </c>
    </row>
    <row r="4411" spans="1:11" ht="42" customHeight="1">
      <c r="A4411" s="4" t="s">
        <v>10301</v>
      </c>
      <c r="B4411" s="5" t="s">
        <v>10302</v>
      </c>
      <c r="C4411" s="5" t="s">
        <v>17</v>
      </c>
      <c r="D4411" s="5" t="s">
        <v>18</v>
      </c>
      <c r="E4411" s="5" t="s">
        <v>104</v>
      </c>
      <c r="F4411" s="9">
        <v>25</v>
      </c>
      <c r="G4411" s="9">
        <v>300</v>
      </c>
      <c r="H4411" s="5" t="s">
        <v>20</v>
      </c>
      <c r="I4411" s="5" t="s">
        <v>10303</v>
      </c>
      <c r="J4411" s="12" t="str">
        <f>HYPERLINK("https://www.boe.es/gazeta/dias/1807/03/17/pdfs/GMD-1807-25.pdf#page=8","Abrir facsímil")</f>
        <v>Abrir facsímil</v>
      </c>
      <c r="K4411" s="15" t="s">
        <v>22</v>
      </c>
    </row>
    <row r="4412" spans="1:11" ht="42" customHeight="1">
      <c r="A4412" s="4" t="s">
        <v>10304</v>
      </c>
      <c r="B4412" s="5" t="s">
        <v>10305</v>
      </c>
      <c r="C4412" s="5" t="s">
        <v>89</v>
      </c>
      <c r="D4412" s="5" t="s">
        <v>90</v>
      </c>
      <c r="E4412" s="5" t="s">
        <v>422</v>
      </c>
      <c r="F4412" s="9">
        <v>33</v>
      </c>
      <c r="G4412" s="9">
        <v>395</v>
      </c>
      <c r="H4412" s="5" t="s">
        <v>20</v>
      </c>
      <c r="I4412" s="5" t="s">
        <v>10306</v>
      </c>
      <c r="J4412" s="12" t="str">
        <f>HYPERLINK("https://www.boe.es/gazeta/dias/1807/04/14/pdfs/GMD-1807-33.pdf#page=11","Abrir facsímil")</f>
        <v>Abrir facsímil</v>
      </c>
      <c r="K4412" s="15" t="s">
        <v>22</v>
      </c>
    </row>
    <row r="4413" spans="1:11" ht="42" customHeight="1">
      <c r="A4413" s="4" t="s">
        <v>10304</v>
      </c>
      <c r="B4413" s="5" t="s">
        <v>10305</v>
      </c>
      <c r="C4413" s="5" t="s">
        <v>24</v>
      </c>
      <c r="D4413" s="5" t="s">
        <v>18</v>
      </c>
      <c r="E4413" s="5" t="s">
        <v>561</v>
      </c>
      <c r="F4413" s="9">
        <v>44</v>
      </c>
      <c r="G4413" s="9">
        <v>529</v>
      </c>
      <c r="H4413" s="5" t="s">
        <v>20</v>
      </c>
      <c r="I4413" s="5" t="s">
        <v>10307</v>
      </c>
      <c r="J4413" s="12" t="str">
        <f>HYPERLINK("https://www.boe.es/gazeta/dias/1807/05/22/pdfs/GMD-1807-44.pdf#page=11","Abrir facsímil")</f>
        <v>Abrir facsímil</v>
      </c>
      <c r="K4413" s="15" t="s">
        <v>22</v>
      </c>
    </row>
    <row r="4414" spans="1:11" ht="42" customHeight="1">
      <c r="A4414" s="4" t="s">
        <v>10304</v>
      </c>
      <c r="B4414" s="5" t="s">
        <v>10305</v>
      </c>
      <c r="C4414" s="5" t="s">
        <v>24</v>
      </c>
      <c r="D4414" s="5" t="s">
        <v>18</v>
      </c>
      <c r="E4414" s="5" t="s">
        <v>595</v>
      </c>
      <c r="F4414" s="9">
        <v>59</v>
      </c>
      <c r="G4414" s="9">
        <v>704</v>
      </c>
      <c r="H4414" s="5" t="s">
        <v>20</v>
      </c>
      <c r="I4414" s="5" t="s">
        <v>10308</v>
      </c>
      <c r="J4414" s="12" t="str">
        <f>HYPERLINK("https://www.boe.es/gazeta/dias/1807/07/10/pdfs/GMD-1807-59.pdf#page=10","Abrir facsímil")</f>
        <v>Abrir facsímil</v>
      </c>
      <c r="K4414" s="15" t="s">
        <v>22</v>
      </c>
    </row>
    <row r="4415" spans="1:11" ht="42" customHeight="1">
      <c r="A4415" s="4" t="s">
        <v>10309</v>
      </c>
      <c r="B4415" s="5" t="s">
        <v>10310</v>
      </c>
      <c r="C4415" s="5" t="s">
        <v>89</v>
      </c>
      <c r="D4415" s="5" t="s">
        <v>90</v>
      </c>
      <c r="E4415" s="5" t="s">
        <v>1934</v>
      </c>
      <c r="F4415" s="9">
        <v>2</v>
      </c>
      <c r="G4415" s="9">
        <v>20</v>
      </c>
      <c r="H4415" s="5" t="s">
        <v>20</v>
      </c>
      <c r="I4415" s="5" t="s">
        <v>10311</v>
      </c>
      <c r="J4415" s="12" t="str">
        <f>HYPERLINK("https://www.boe.es/gazeta/dias/1807/01/06/pdfs/GMD-1807-2.pdf#page=8","Abrir facsímil")</f>
        <v>Abrir facsímil</v>
      </c>
      <c r="K4415" s="15" t="s">
        <v>22</v>
      </c>
    </row>
    <row r="4416" spans="1:11" ht="42" customHeight="1">
      <c r="A4416" s="4" t="s">
        <v>10312</v>
      </c>
      <c r="B4416" s="5" t="s">
        <v>10313</v>
      </c>
      <c r="C4416" s="5" t="s">
        <v>24</v>
      </c>
      <c r="D4416" s="5" t="s">
        <v>18</v>
      </c>
      <c r="E4416" s="5" t="s">
        <v>384</v>
      </c>
      <c r="F4416" s="9">
        <v>111</v>
      </c>
      <c r="G4416" s="9">
        <v>1298</v>
      </c>
      <c r="H4416" s="5" t="s">
        <v>20</v>
      </c>
      <c r="I4416" s="5" t="s">
        <v>10314</v>
      </c>
      <c r="J4416" s="12" t="str">
        <f>HYPERLINK("https://www.boe.es/gazeta/dias/1807/12/15/pdfs/GMD-1807-111.pdf#page=10","Abrir facsímil")</f>
        <v>Abrir facsímil</v>
      </c>
      <c r="K4416" s="15" t="s">
        <v>22</v>
      </c>
    </row>
    <row r="4417" spans="1:11" ht="42" customHeight="1">
      <c r="A4417" s="4" t="s">
        <v>10315</v>
      </c>
      <c r="B4417" s="5" t="s">
        <v>10316</v>
      </c>
      <c r="C4417" s="5" t="s">
        <v>34</v>
      </c>
      <c r="D4417" s="5" t="s">
        <v>35</v>
      </c>
      <c r="E4417" s="5" t="s">
        <v>53</v>
      </c>
      <c r="F4417" s="9">
        <v>64</v>
      </c>
      <c r="G4417" s="9">
        <v>747</v>
      </c>
      <c r="H4417" s="5" t="s">
        <v>20</v>
      </c>
      <c r="I4417" s="5" t="s">
        <v>10317</v>
      </c>
      <c r="J4417" s="12" t="str">
        <f>HYPERLINK("https://www.boe.es/gazeta/dias/1807/07/21/pdfs/GMD-1807-64.pdf#page=9","Abrir facsímil")</f>
        <v>Abrir facsímil</v>
      </c>
      <c r="K4417" s="15" t="s">
        <v>22</v>
      </c>
    </row>
    <row r="4418" spans="1:11" ht="42" customHeight="1">
      <c r="A4418" s="4" t="s">
        <v>10318</v>
      </c>
      <c r="B4418" s="5" t="s">
        <v>10319</v>
      </c>
      <c r="C4418" s="5" t="s">
        <v>34</v>
      </c>
      <c r="D4418" s="5" t="s">
        <v>35</v>
      </c>
      <c r="E4418" s="5" t="s">
        <v>464</v>
      </c>
      <c r="F4418" s="9">
        <v>18</v>
      </c>
      <c r="G4418" s="9">
        <v>212</v>
      </c>
      <c r="H4418" s="5" t="s">
        <v>20</v>
      </c>
      <c r="I4418" s="5" t="s">
        <v>10320</v>
      </c>
      <c r="J4418" s="12" t="str">
        <f>HYPERLINK("https://www.boe.es/gazeta/dias/1807/02/24/pdfs/GMD-1807-18.pdf#page=12","Abrir facsímil")</f>
        <v>Abrir facsímil</v>
      </c>
      <c r="K4418" s="15" t="s">
        <v>22</v>
      </c>
    </row>
    <row r="4419" spans="1:11" ht="42" customHeight="1">
      <c r="A4419" s="4" t="s">
        <v>10318</v>
      </c>
      <c r="B4419" s="5" t="s">
        <v>10319</v>
      </c>
      <c r="C4419" s="5" t="s">
        <v>89</v>
      </c>
      <c r="D4419" s="5" t="s">
        <v>90</v>
      </c>
      <c r="E4419" s="5" t="s">
        <v>581</v>
      </c>
      <c r="F4419" s="9">
        <v>71</v>
      </c>
      <c r="G4419" s="9">
        <v>820</v>
      </c>
      <c r="H4419" s="5" t="s">
        <v>20</v>
      </c>
      <c r="I4419" s="5" t="s">
        <v>10321</v>
      </c>
      <c r="J4419" s="12" t="str">
        <f>HYPERLINK("https://www.boe.es/gazeta/dias/1807/08/07/pdfs/GMD-1807-71.pdf#page=12","Abrir facsímil")</f>
        <v>Abrir facsímil</v>
      </c>
      <c r="K4419" s="15" t="s">
        <v>22</v>
      </c>
    </row>
    <row r="4420" spans="1:11" ht="42" customHeight="1">
      <c r="A4420" s="4" t="s">
        <v>10322</v>
      </c>
      <c r="B4420" s="5" t="s">
        <v>10323</v>
      </c>
      <c r="C4420" s="5" t="s">
        <v>34</v>
      </c>
      <c r="D4420" s="5" t="s">
        <v>35</v>
      </c>
      <c r="E4420" s="5" t="s">
        <v>135</v>
      </c>
      <c r="F4420" s="9">
        <v>80</v>
      </c>
      <c r="G4420" s="9">
        <v>933</v>
      </c>
      <c r="H4420" s="5" t="s">
        <v>20</v>
      </c>
      <c r="I4420" s="5" t="s">
        <v>10324</v>
      </c>
      <c r="J4420" s="12" t="str">
        <f>HYPERLINK("https://www.boe.es/gazeta/dias/1807/09/08/pdfs/GMD-1807-80.pdf#page=9","Abrir facsímil")</f>
        <v>Abrir facsímil</v>
      </c>
      <c r="K4420" s="15" t="s">
        <v>22</v>
      </c>
    </row>
    <row r="4421" spans="1:11" ht="42" customHeight="1">
      <c r="A4421" s="4" t="s">
        <v>10325</v>
      </c>
      <c r="B4421" s="5" t="s">
        <v>10326</v>
      </c>
      <c r="C4421" s="5" t="s">
        <v>28</v>
      </c>
      <c r="D4421" s="5" t="s">
        <v>29</v>
      </c>
      <c r="E4421" s="5" t="s">
        <v>208</v>
      </c>
      <c r="F4421" s="9">
        <v>42</v>
      </c>
      <c r="G4421" s="9">
        <v>502</v>
      </c>
      <c r="H4421" s="5" t="s">
        <v>20</v>
      </c>
      <c r="I4421" s="5" t="s">
        <v>10327</v>
      </c>
      <c r="J4421" s="12" t="str">
        <f>HYPERLINK("https://www.boe.es/gazeta/dias/1807/05/15/pdfs/GMD-1807-42.pdf#page=8","Abrir facsímil")</f>
        <v>Abrir facsímil</v>
      </c>
      <c r="K4421" s="15" t="s">
        <v>22</v>
      </c>
    </row>
    <row r="4422" spans="1:11" ht="42" customHeight="1">
      <c r="A4422" s="4" t="s">
        <v>10328</v>
      </c>
      <c r="B4422" s="5" t="s">
        <v>10329</v>
      </c>
      <c r="C4422" s="5" t="s">
        <v>34</v>
      </c>
      <c r="D4422" s="5" t="s">
        <v>35</v>
      </c>
      <c r="E4422" s="5" t="s">
        <v>91</v>
      </c>
      <c r="F4422" s="9">
        <v>109</v>
      </c>
      <c r="G4422" s="9">
        <v>1273</v>
      </c>
      <c r="H4422" s="5" t="s">
        <v>20</v>
      </c>
      <c r="I4422" s="5" t="s">
        <v>10330</v>
      </c>
      <c r="J4422" s="12" t="str">
        <f>HYPERLINK("https://www.boe.es/gazeta/dias/1807/12/08/pdfs/GMD-1807-109.pdf#page=9","Abrir facsímil")</f>
        <v>Abrir facsímil</v>
      </c>
      <c r="K4422" s="15" t="s">
        <v>22</v>
      </c>
    </row>
    <row r="4423" spans="1:11" ht="42" customHeight="1">
      <c r="A4423" s="4" t="s">
        <v>10331</v>
      </c>
      <c r="B4423" s="5" t="s">
        <v>10332</v>
      </c>
      <c r="C4423" s="5" t="s">
        <v>28</v>
      </c>
      <c r="D4423" s="5" t="s">
        <v>29</v>
      </c>
      <c r="E4423" s="5" t="s">
        <v>350</v>
      </c>
      <c r="F4423" s="9">
        <v>112</v>
      </c>
      <c r="G4423" s="9">
        <v>1311</v>
      </c>
      <c r="H4423" s="5" t="s">
        <v>20</v>
      </c>
      <c r="I4423" s="5" t="s">
        <v>10333</v>
      </c>
      <c r="J4423" s="12" t="str">
        <f>HYPERLINK("https://www.boe.es/gazeta/dias/1807/12/18/pdfs/GMD-1807-112.pdf#page=11","Abrir facsímil")</f>
        <v>Abrir facsímil</v>
      </c>
      <c r="K4423" s="15" t="s">
        <v>22</v>
      </c>
    </row>
    <row r="4424" spans="1:11" ht="42" customHeight="1">
      <c r="A4424" s="4" t="s">
        <v>10334</v>
      </c>
      <c r="B4424" s="5" t="s">
        <v>10335</v>
      </c>
      <c r="C4424" s="5" t="s">
        <v>28</v>
      </c>
      <c r="D4424" s="5" t="s">
        <v>29</v>
      </c>
      <c r="E4424" s="5" t="s">
        <v>666</v>
      </c>
      <c r="F4424" s="9">
        <v>43</v>
      </c>
      <c r="G4424" s="9">
        <v>516</v>
      </c>
      <c r="H4424" s="5" t="s">
        <v>20</v>
      </c>
      <c r="I4424" s="5" t="s">
        <v>10336</v>
      </c>
      <c r="J4424" s="12" t="str">
        <f>HYPERLINK("https://www.boe.es/gazeta/dias/1807/05/19/pdfs/GMD-1807-43.pdf#page=10","Abrir facsímil")</f>
        <v>Abrir facsímil</v>
      </c>
      <c r="K4424" s="15" t="s">
        <v>22</v>
      </c>
    </row>
    <row r="4425" spans="1:11" ht="42" customHeight="1">
      <c r="A4425" s="4" t="s">
        <v>10337</v>
      </c>
      <c r="B4425" s="5" t="s">
        <v>10338</v>
      </c>
      <c r="C4425" s="5" t="s">
        <v>89</v>
      </c>
      <c r="D4425" s="5" t="s">
        <v>90</v>
      </c>
      <c r="E4425" s="5" t="s">
        <v>1354</v>
      </c>
      <c r="F4425" s="9">
        <v>83</v>
      </c>
      <c r="G4425" s="9">
        <v>972</v>
      </c>
      <c r="H4425" s="5" t="s">
        <v>20</v>
      </c>
      <c r="I4425" s="5" t="s">
        <v>10339</v>
      </c>
      <c r="J4425" s="12" t="str">
        <f>HYPERLINK("https://www.boe.es/gazeta/dias/1807/09/18/pdfs/GMD-1807-83.pdf#page=12","Abrir facsímil")</f>
        <v>Abrir facsímil</v>
      </c>
      <c r="K4425" s="15" t="s">
        <v>22</v>
      </c>
    </row>
    <row r="4426" spans="1:11" ht="42" customHeight="1">
      <c r="A4426" s="4" t="s">
        <v>10340</v>
      </c>
      <c r="B4426" s="5" t="s">
        <v>10341</v>
      </c>
      <c r="C4426" s="5" t="s">
        <v>17</v>
      </c>
      <c r="D4426" s="5" t="s">
        <v>18</v>
      </c>
      <c r="E4426" s="5" t="s">
        <v>176</v>
      </c>
      <c r="F4426" s="9">
        <v>17</v>
      </c>
      <c r="G4426" s="9">
        <v>199</v>
      </c>
      <c r="H4426" s="5" t="s">
        <v>20</v>
      </c>
      <c r="I4426" s="5" t="s">
        <v>10342</v>
      </c>
      <c r="J4426" s="12" t="str">
        <f>HYPERLINK("https://www.boe.es/gazeta/dias/1807/02/20/pdfs/GMD-1807-17.pdf#page=11","Abrir facsímil")</f>
        <v>Abrir facsímil</v>
      </c>
      <c r="K4426" s="15" t="s">
        <v>22</v>
      </c>
    </row>
    <row r="4427" spans="1:11" ht="42" customHeight="1">
      <c r="A4427" s="4" t="s">
        <v>10343</v>
      </c>
      <c r="B4427" s="5" t="s">
        <v>10344</v>
      </c>
      <c r="C4427" s="5" t="s">
        <v>34</v>
      </c>
      <c r="D4427" s="5" t="s">
        <v>35</v>
      </c>
      <c r="E4427" s="5" t="s">
        <v>471</v>
      </c>
      <c r="F4427" s="9">
        <v>51</v>
      </c>
      <c r="G4427" s="9">
        <v>605</v>
      </c>
      <c r="H4427" s="5" t="s">
        <v>20</v>
      </c>
      <c r="I4427" s="5" t="s">
        <v>10345</v>
      </c>
      <c r="J4427" s="12" t="str">
        <f>HYPERLINK("https://www.boe.es/gazeta/dias/1807/06/16/pdfs/GMD-1807-51.pdf#page=7","Abrir facsímil")</f>
        <v>Abrir facsímil</v>
      </c>
      <c r="K4427" s="15" t="s">
        <v>22</v>
      </c>
    </row>
    <row r="4428" spans="1:11" ht="42" customHeight="1">
      <c r="A4428" s="4" t="s">
        <v>10346</v>
      </c>
      <c r="B4428" s="5" t="s">
        <v>10347</v>
      </c>
      <c r="C4428" s="5" t="s">
        <v>34</v>
      </c>
      <c r="D4428" s="5" t="s">
        <v>35</v>
      </c>
      <c r="E4428" s="5" t="s">
        <v>19</v>
      </c>
      <c r="F4428" s="9">
        <v>41</v>
      </c>
      <c r="G4428" s="9">
        <v>489</v>
      </c>
      <c r="H4428" s="5" t="s">
        <v>20</v>
      </c>
      <c r="I4428" s="5" t="s">
        <v>10348</v>
      </c>
      <c r="J4428" s="12" t="str">
        <f>HYPERLINK("https://www.boe.es/gazeta/dias/1807/05/12/pdfs/GMD-1807-41.pdf#page=7","Abrir facsímil")</f>
        <v>Abrir facsímil</v>
      </c>
      <c r="K4428" s="15" t="s">
        <v>22</v>
      </c>
    </row>
    <row r="4429" spans="1:11" ht="42" customHeight="1">
      <c r="A4429" s="4" t="s">
        <v>10349</v>
      </c>
      <c r="B4429" s="5" t="s">
        <v>10350</v>
      </c>
      <c r="C4429" s="5" t="s">
        <v>34</v>
      </c>
      <c r="D4429" s="5" t="s">
        <v>35</v>
      </c>
      <c r="E4429" s="5" t="s">
        <v>471</v>
      </c>
      <c r="F4429" s="9">
        <v>51</v>
      </c>
      <c r="G4429" s="9">
        <v>605</v>
      </c>
      <c r="H4429" s="5" t="s">
        <v>20</v>
      </c>
      <c r="I4429" s="5" t="s">
        <v>10351</v>
      </c>
      <c r="J4429" s="12" t="str">
        <f>HYPERLINK("https://www.boe.es/gazeta/dias/1807/06/16/pdfs/GMD-1807-51.pdf#page=7","Abrir facsímil")</f>
        <v>Abrir facsímil</v>
      </c>
      <c r="K4429" s="15" t="s">
        <v>22</v>
      </c>
    </row>
    <row r="4430" spans="1:11" ht="42" customHeight="1">
      <c r="A4430" s="4" t="s">
        <v>10352</v>
      </c>
      <c r="B4430" s="5" t="s">
        <v>10353</v>
      </c>
      <c r="C4430" s="5" t="s">
        <v>34</v>
      </c>
      <c r="D4430" s="5" t="s">
        <v>35</v>
      </c>
      <c r="E4430" s="5" t="s">
        <v>156</v>
      </c>
      <c r="F4430" s="9">
        <v>74</v>
      </c>
      <c r="G4430" s="9">
        <v>854</v>
      </c>
      <c r="H4430" s="5" t="s">
        <v>20</v>
      </c>
      <c r="I4430" s="5" t="s">
        <v>10354</v>
      </c>
      <c r="J4430" s="12" t="str">
        <f>HYPERLINK("https://www.boe.es/gazeta/dias/1807/08/18/pdfs/GMD-1807-74.pdf#page=6","Abrir facsímil")</f>
        <v>Abrir facsímil</v>
      </c>
      <c r="K4430" s="15" t="s">
        <v>22</v>
      </c>
    </row>
    <row r="4431" spans="1:11" ht="42" customHeight="1">
      <c r="A4431" s="4" t="s">
        <v>10355</v>
      </c>
      <c r="B4431" s="5" t="s">
        <v>10356</v>
      </c>
      <c r="C4431" s="5" t="s">
        <v>17</v>
      </c>
      <c r="D4431" s="5" t="s">
        <v>18</v>
      </c>
      <c r="E4431" s="5" t="s">
        <v>441</v>
      </c>
      <c r="F4431" s="9">
        <v>92</v>
      </c>
      <c r="G4431" s="9">
        <v>1068</v>
      </c>
      <c r="H4431" s="5" t="s">
        <v>20</v>
      </c>
      <c r="I4431" s="5" t="s">
        <v>10357</v>
      </c>
      <c r="J4431" s="12" t="str">
        <f>HYPERLINK("https://www.boe.es/gazeta/dias/1807/10/13/pdfs/GMD-1807-92.pdf#page=8","Abrir facsímil")</f>
        <v>Abrir facsímil</v>
      </c>
      <c r="K4431" s="15" t="s">
        <v>22</v>
      </c>
    </row>
    <row r="4432" spans="1:11" ht="42" customHeight="1">
      <c r="A4432" s="4" t="s">
        <v>10358</v>
      </c>
      <c r="B4432" s="5" t="s">
        <v>10358</v>
      </c>
      <c r="C4432" s="5" t="s">
        <v>28</v>
      </c>
      <c r="D4432" s="5" t="s">
        <v>29</v>
      </c>
      <c r="E4432" s="5" t="s">
        <v>447</v>
      </c>
      <c r="F4432" s="9">
        <v>65</v>
      </c>
      <c r="G4432" s="9">
        <v>757</v>
      </c>
      <c r="H4432" s="5" t="s">
        <v>20</v>
      </c>
      <c r="I4432" s="5" t="s">
        <v>10359</v>
      </c>
      <c r="J4432" s="12" t="str">
        <f>HYPERLINK("https://www.boe.es/gazeta/dias/1807/07/24/pdfs/GMD-1807-65.pdf#page=7","Abrir facsímil")</f>
        <v>Abrir facsímil</v>
      </c>
      <c r="K4432" s="15" t="s">
        <v>22</v>
      </c>
    </row>
    <row r="4433" spans="1:11" ht="42" customHeight="1">
      <c r="A4433" s="4" t="s">
        <v>10360</v>
      </c>
      <c r="B4433" s="5" t="s">
        <v>10360</v>
      </c>
      <c r="C4433" s="5" t="s">
        <v>28</v>
      </c>
      <c r="D4433" s="5" t="s">
        <v>29</v>
      </c>
      <c r="E4433" s="5" t="s">
        <v>139</v>
      </c>
      <c r="F4433" s="9">
        <v>110</v>
      </c>
      <c r="G4433" s="9">
        <v>1286</v>
      </c>
      <c r="H4433" s="5" t="s">
        <v>20</v>
      </c>
      <c r="I4433" s="5" t="s">
        <v>10361</v>
      </c>
      <c r="J4433" s="12" t="str">
        <f>HYPERLINK("https://www.boe.es/gazeta/dias/1807/12/11/pdfs/GMD-1807-110.pdf#page=10","Abrir facsímil")</f>
        <v>Abrir facsímil</v>
      </c>
      <c r="K4433" s="15" t="s">
        <v>22</v>
      </c>
    </row>
    <row r="4434" spans="1:11" ht="42" customHeight="1">
      <c r="A4434" s="4" t="s">
        <v>10362</v>
      </c>
      <c r="B4434" s="5" t="s">
        <v>10363</v>
      </c>
      <c r="C4434" s="5" t="s">
        <v>89</v>
      </c>
      <c r="D4434" s="5" t="s">
        <v>90</v>
      </c>
      <c r="E4434" s="5" t="s">
        <v>101</v>
      </c>
      <c r="F4434" s="9">
        <v>23</v>
      </c>
      <c r="G4434" s="9">
        <v>274</v>
      </c>
      <c r="H4434" s="5" t="s">
        <v>20</v>
      </c>
      <c r="I4434" s="5" t="s">
        <v>10364</v>
      </c>
      <c r="J4434" s="12" t="str">
        <f>HYPERLINK("https://www.boe.es/gazeta/dias/1807/03/10/pdfs/GMD-1807-23.pdf#page=14","Abrir facsímil")</f>
        <v>Abrir facsímil</v>
      </c>
      <c r="K4434" s="15" t="s">
        <v>22</v>
      </c>
    </row>
    <row r="4435" spans="1:11" ht="42" customHeight="1">
      <c r="A4435" s="4" t="s">
        <v>10365</v>
      </c>
      <c r="B4435" s="5" t="s">
        <v>10366</v>
      </c>
      <c r="C4435" s="5" t="s">
        <v>34</v>
      </c>
      <c r="D4435" s="5" t="s">
        <v>35</v>
      </c>
      <c r="E4435" s="5" t="s">
        <v>376</v>
      </c>
      <c r="F4435" s="9">
        <v>19</v>
      </c>
      <c r="G4435" s="9">
        <v>226</v>
      </c>
      <c r="H4435" s="5" t="s">
        <v>20</v>
      </c>
      <c r="I4435" s="5" t="s">
        <v>10367</v>
      </c>
      <c r="J4435" s="12" t="str">
        <f>HYPERLINK("https://www.boe.es/gazeta/dias/1807/02/27/pdfs/GMD-1807-19.pdf#page=10","Abrir facsímil")</f>
        <v>Abrir facsímil</v>
      </c>
      <c r="K4435" s="15" t="s">
        <v>22</v>
      </c>
    </row>
    <row r="4436" spans="1:11" ht="42" customHeight="1">
      <c r="A4436" s="4" t="s">
        <v>10365</v>
      </c>
      <c r="B4436" s="5" t="s">
        <v>10366</v>
      </c>
      <c r="C4436" s="5" t="s">
        <v>24</v>
      </c>
      <c r="D4436" s="5" t="s">
        <v>18</v>
      </c>
      <c r="E4436" s="5" t="s">
        <v>94</v>
      </c>
      <c r="F4436" s="9">
        <v>22</v>
      </c>
      <c r="G4436" s="9">
        <v>259</v>
      </c>
      <c r="H4436" s="5" t="s">
        <v>20</v>
      </c>
      <c r="I4436" s="5" t="s">
        <v>10368</v>
      </c>
      <c r="J4436" s="12" t="str">
        <f>HYPERLINK("https://www.boe.es/gazeta/dias/1807/03/06/pdfs/GMD-1807-22.pdf#page=11","Abrir facsímil")</f>
        <v>Abrir facsímil</v>
      </c>
      <c r="K4436" s="15" t="s">
        <v>22</v>
      </c>
    </row>
    <row r="4437" spans="1:11" ht="42" customHeight="1">
      <c r="A4437" s="4" t="s">
        <v>10365</v>
      </c>
      <c r="B4437" s="5" t="s">
        <v>10366</v>
      </c>
      <c r="C4437" s="5" t="s">
        <v>34</v>
      </c>
      <c r="D4437" s="5" t="s">
        <v>35</v>
      </c>
      <c r="E4437" s="5" t="s">
        <v>40</v>
      </c>
      <c r="F4437" s="9">
        <v>26</v>
      </c>
      <c r="G4437" s="9">
        <v>315</v>
      </c>
      <c r="H4437" s="5" t="s">
        <v>20</v>
      </c>
      <c r="I4437" s="5" t="s">
        <v>10369</v>
      </c>
      <c r="J4437" s="12" t="str">
        <f>HYPERLINK("https://www.boe.es/gazeta/dias/1807/03/20/pdfs/GMD-1807-26.pdf#page=11","Abrir facsímil")</f>
        <v>Abrir facsímil</v>
      </c>
      <c r="K4437" s="15" t="s">
        <v>22</v>
      </c>
    </row>
    <row r="4438" spans="1:11" ht="42" customHeight="1">
      <c r="A4438" s="4" t="s">
        <v>10365</v>
      </c>
      <c r="B4438" s="5" t="s">
        <v>10366</v>
      </c>
      <c r="C4438" s="5" t="s">
        <v>24</v>
      </c>
      <c r="D4438" s="5" t="s">
        <v>18</v>
      </c>
      <c r="E4438" s="5" t="s">
        <v>127</v>
      </c>
      <c r="F4438" s="9">
        <v>81</v>
      </c>
      <c r="G4438" s="9">
        <v>947</v>
      </c>
      <c r="H4438" s="5" t="s">
        <v>20</v>
      </c>
      <c r="I4438" s="5" t="s">
        <v>10370</v>
      </c>
      <c r="J4438" s="12" t="str">
        <f>HYPERLINK("https://www.boe.es/gazeta/dias/1807/09/11/pdfs/GMD-1807-81.pdf#page=11","Abrir facsímil")</f>
        <v>Abrir facsímil</v>
      </c>
      <c r="K4438" s="15" t="s">
        <v>22</v>
      </c>
    </row>
    <row r="4439" spans="1:11" ht="42" customHeight="1">
      <c r="A4439" s="4" t="s">
        <v>10365</v>
      </c>
      <c r="B4439" s="5" t="s">
        <v>10366</v>
      </c>
      <c r="C4439" s="5" t="s">
        <v>34</v>
      </c>
      <c r="D4439" s="5" t="s">
        <v>35</v>
      </c>
      <c r="E4439" s="5" t="s">
        <v>426</v>
      </c>
      <c r="F4439" s="9">
        <v>93</v>
      </c>
      <c r="G4439" s="9">
        <v>1083</v>
      </c>
      <c r="H4439" s="5" t="s">
        <v>20</v>
      </c>
      <c r="I4439" s="5" t="s">
        <v>10371</v>
      </c>
      <c r="J4439" s="12" t="str">
        <f>HYPERLINK("https://www.boe.es/gazeta/dias/1807/10/16/pdfs/GMD-1807-93.pdf#page=11","Abrir facsímil")</f>
        <v>Abrir facsímil</v>
      </c>
      <c r="K4439" s="15" t="s">
        <v>22</v>
      </c>
    </row>
    <row r="4440" spans="1:11" ht="42" customHeight="1">
      <c r="A4440" s="4" t="s">
        <v>10365</v>
      </c>
      <c r="B4440" s="5" t="s">
        <v>10366</v>
      </c>
      <c r="C4440" s="5" t="s">
        <v>28</v>
      </c>
      <c r="D4440" s="5" t="s">
        <v>29</v>
      </c>
      <c r="E4440" s="5" t="s">
        <v>1076</v>
      </c>
      <c r="F4440" s="9">
        <v>96</v>
      </c>
      <c r="G4440" s="9">
        <v>1119</v>
      </c>
      <c r="H4440" s="5" t="s">
        <v>20</v>
      </c>
      <c r="I4440" s="5" t="s">
        <v>10372</v>
      </c>
      <c r="J4440" s="12" t="str">
        <f>HYPERLINK("https://www.boe.es/gazeta/dias/1807/10/27/pdfs/GMD-1807-96.pdf#page=11","Abrir facsímil")</f>
        <v>Abrir facsímil</v>
      </c>
      <c r="K4440" s="15" t="s">
        <v>22</v>
      </c>
    </row>
    <row r="4441" spans="1:11" ht="42" customHeight="1">
      <c r="A4441" s="4" t="s">
        <v>10365</v>
      </c>
      <c r="B4441" s="5" t="s">
        <v>10366</v>
      </c>
      <c r="C4441" s="5" t="s">
        <v>24</v>
      </c>
      <c r="D4441" s="5" t="s">
        <v>18</v>
      </c>
      <c r="E4441" s="5" t="s">
        <v>245</v>
      </c>
      <c r="F4441" s="9">
        <v>97</v>
      </c>
      <c r="G4441" s="9">
        <v>1131</v>
      </c>
      <c r="H4441" s="5" t="s">
        <v>20</v>
      </c>
      <c r="I4441" s="5" t="s">
        <v>10373</v>
      </c>
      <c r="J4441" s="12" t="str">
        <f>HYPERLINK("https://www.boe.es/gazeta/dias/1807/10/30/pdfs/GMD-1807-97.pdf#page=11","Abrir facsímil")</f>
        <v>Abrir facsímil</v>
      </c>
      <c r="K4441" s="15" t="s">
        <v>22</v>
      </c>
    </row>
    <row r="4442" spans="1:11" ht="42" customHeight="1">
      <c r="A4442" s="4" t="s">
        <v>10365</v>
      </c>
      <c r="B4442" s="5" t="s">
        <v>10366</v>
      </c>
      <c r="C4442" s="5" t="s">
        <v>24</v>
      </c>
      <c r="D4442" s="5" t="s">
        <v>18</v>
      </c>
      <c r="E4442" s="5" t="s">
        <v>1456</v>
      </c>
      <c r="F4442" s="9">
        <v>98</v>
      </c>
      <c r="G4442" s="9">
        <v>1143</v>
      </c>
      <c r="H4442" s="5" t="s">
        <v>20</v>
      </c>
      <c r="I4442" s="5" t="s">
        <v>10374</v>
      </c>
      <c r="J4442" s="12" t="str">
        <f>HYPERLINK("https://www.boe.es/gazeta/dias/1807/11/03/pdfs/GMD-1807-98.pdf#page=11","Abrir facsímil")</f>
        <v>Abrir facsímil</v>
      </c>
      <c r="K4442" s="15" t="s">
        <v>22</v>
      </c>
    </row>
    <row r="4443" spans="1:11" ht="42" customHeight="1">
      <c r="A4443" s="4" t="s">
        <v>10365</v>
      </c>
      <c r="B4443" s="5" t="s">
        <v>10366</v>
      </c>
      <c r="C4443" s="5" t="s">
        <v>34</v>
      </c>
      <c r="D4443" s="5" t="s">
        <v>35</v>
      </c>
      <c r="E4443" s="5" t="s">
        <v>1177</v>
      </c>
      <c r="F4443" s="9">
        <v>101</v>
      </c>
      <c r="G4443" s="9">
        <v>1178</v>
      </c>
      <c r="H4443" s="5" t="s">
        <v>20</v>
      </c>
      <c r="I4443" s="5" t="s">
        <v>10375</v>
      </c>
      <c r="J4443" s="12" t="str">
        <f>HYPERLINK("https://www.boe.es/gazeta/dias/1807/11/13/pdfs/GMD-1807-101.pdf#page=10","Abrir facsímil")</f>
        <v>Abrir facsímil</v>
      </c>
      <c r="K4443" s="15" t="s">
        <v>22</v>
      </c>
    </row>
    <row r="4444" spans="1:11" ht="42" customHeight="1">
      <c r="A4444" s="4" t="s">
        <v>10365</v>
      </c>
      <c r="B4444" s="5" t="s">
        <v>10366</v>
      </c>
      <c r="C4444" s="5" t="s">
        <v>34</v>
      </c>
      <c r="D4444" s="5" t="s">
        <v>35</v>
      </c>
      <c r="E4444" s="5" t="s">
        <v>754</v>
      </c>
      <c r="F4444" s="9">
        <v>103</v>
      </c>
      <c r="G4444" s="9">
        <v>1204</v>
      </c>
      <c r="H4444" s="5" t="s">
        <v>20</v>
      </c>
      <c r="I4444" s="5" t="s">
        <v>10376</v>
      </c>
      <c r="J4444" s="12" t="str">
        <f>HYPERLINK("https://www.boe.es/gazeta/dias/1807/11/20/pdfs/GMD-1807-103.pdf#page=12","Abrir facsímil")</f>
        <v>Abrir facsímil</v>
      </c>
      <c r="K4444" s="15" t="s">
        <v>22</v>
      </c>
    </row>
    <row r="4445" spans="1:11" ht="42" customHeight="1">
      <c r="A4445" s="4" t="s">
        <v>10365</v>
      </c>
      <c r="B4445" s="5" t="s">
        <v>10366</v>
      </c>
      <c r="C4445" s="5" t="s">
        <v>24</v>
      </c>
      <c r="D4445" s="5" t="s">
        <v>18</v>
      </c>
      <c r="E4445" s="5" t="s">
        <v>275</v>
      </c>
      <c r="F4445" s="9">
        <v>104</v>
      </c>
      <c r="G4445" s="9">
        <v>1216</v>
      </c>
      <c r="H4445" s="5" t="s">
        <v>20</v>
      </c>
      <c r="I4445" s="5" t="s">
        <v>10377</v>
      </c>
      <c r="J4445" s="12" t="str">
        <f>HYPERLINK("https://www.boe.es/gazeta/dias/1807/11/24/pdfs/GMD-1807-104.pdf#page=12","Abrir facsímil")</f>
        <v>Abrir facsímil</v>
      </c>
      <c r="K4445" s="15" t="s">
        <v>22</v>
      </c>
    </row>
    <row r="4446" spans="1:11" ht="42" customHeight="1">
      <c r="A4446" s="4" t="s">
        <v>10365</v>
      </c>
      <c r="B4446" s="5" t="s">
        <v>10366</v>
      </c>
      <c r="C4446" s="5" t="s">
        <v>24</v>
      </c>
      <c r="D4446" s="5" t="s">
        <v>18</v>
      </c>
      <c r="E4446" s="5" t="s">
        <v>309</v>
      </c>
      <c r="F4446" s="9">
        <v>107</v>
      </c>
      <c r="G4446" s="9">
        <v>1248</v>
      </c>
      <c r="H4446" s="5" t="s">
        <v>20</v>
      </c>
      <c r="I4446" s="5" t="s">
        <v>10378</v>
      </c>
      <c r="J4446" s="12" t="str">
        <f>HYPERLINK("https://www.boe.es/gazeta/dias/1807/12/01/pdfs/GMD-1807-107.pdf#page=8","Abrir facsímil")</f>
        <v>Abrir facsímil</v>
      </c>
      <c r="K4446" s="15" t="s">
        <v>22</v>
      </c>
    </row>
    <row r="4447" spans="1:11" ht="42" customHeight="1">
      <c r="A4447" s="4" t="s">
        <v>10379</v>
      </c>
      <c r="B4447" s="5" t="s">
        <v>10380</v>
      </c>
      <c r="C4447" s="5" t="s">
        <v>34</v>
      </c>
      <c r="D4447" s="5" t="s">
        <v>35</v>
      </c>
      <c r="E4447" s="5" t="s">
        <v>567</v>
      </c>
      <c r="F4447" s="9">
        <v>55</v>
      </c>
      <c r="G4447" s="9">
        <v>658</v>
      </c>
      <c r="H4447" s="5" t="s">
        <v>20</v>
      </c>
      <c r="I4447" s="5" t="s">
        <v>10381</v>
      </c>
      <c r="J4447" s="12" t="str">
        <f>HYPERLINK("https://www.boe.es/gazeta/dias/1807/06/30/pdfs/GMD-1807-55.pdf#page=8","Abrir facsímil")</f>
        <v>Abrir facsímil</v>
      </c>
      <c r="K4447" s="15" t="s">
        <v>22</v>
      </c>
    </row>
    <row r="4448" spans="1:11" ht="42" customHeight="1">
      <c r="A4448" s="4" t="s">
        <v>10382</v>
      </c>
      <c r="B4448" s="5" t="s">
        <v>10383</v>
      </c>
      <c r="C4448" s="5" t="s">
        <v>34</v>
      </c>
      <c r="D4448" s="5" t="s">
        <v>35</v>
      </c>
      <c r="E4448" s="5" t="s">
        <v>221</v>
      </c>
      <c r="F4448" s="9">
        <v>73</v>
      </c>
      <c r="G4448" s="9">
        <v>845</v>
      </c>
      <c r="H4448" s="5" t="s">
        <v>20</v>
      </c>
      <c r="I4448" s="5" t="s">
        <v>10384</v>
      </c>
      <c r="J4448" s="12" t="str">
        <f>HYPERLINK("https://www.boe.es/gazeta/dias/1807/08/14/pdfs/GMD-1807-73.pdf#page=9","Abrir facsímil")</f>
        <v>Abrir facsímil</v>
      </c>
      <c r="K4448" s="15" t="s">
        <v>22</v>
      </c>
    </row>
    <row r="4449" spans="1:11" ht="42" customHeight="1">
      <c r="A4449" s="4" t="s">
        <v>10385</v>
      </c>
      <c r="B4449" s="5" t="s">
        <v>10386</v>
      </c>
      <c r="C4449" s="5" t="s">
        <v>17</v>
      </c>
      <c r="D4449" s="5" t="s">
        <v>18</v>
      </c>
      <c r="E4449" s="5" t="s">
        <v>109</v>
      </c>
      <c r="F4449" s="9">
        <v>58</v>
      </c>
      <c r="G4449" s="9">
        <v>688</v>
      </c>
      <c r="H4449" s="5" t="s">
        <v>20</v>
      </c>
      <c r="I4449" s="5" t="s">
        <v>10387</v>
      </c>
      <c r="J4449" s="12" t="str">
        <f>HYPERLINK("https://www.boe.es/gazeta/dias/1807/07/07/pdfs/GMD-1807-58.pdf#page=6","Abrir facsímil")</f>
        <v>Abrir facsímil</v>
      </c>
      <c r="K4449" s="15" t="s">
        <v>22</v>
      </c>
    </row>
    <row r="4450" spans="1:11" ht="42" customHeight="1">
      <c r="A4450" s="4" t="s">
        <v>10388</v>
      </c>
      <c r="B4450" s="5" t="s">
        <v>10389</v>
      </c>
      <c r="C4450" s="5" t="s">
        <v>17</v>
      </c>
      <c r="D4450" s="5" t="s">
        <v>18</v>
      </c>
      <c r="E4450" s="5" t="s">
        <v>393</v>
      </c>
      <c r="F4450" s="9">
        <v>15</v>
      </c>
      <c r="G4450" s="9">
        <v>172</v>
      </c>
      <c r="H4450" s="5" t="s">
        <v>20</v>
      </c>
      <c r="I4450" s="5" t="s">
        <v>10390</v>
      </c>
      <c r="J4450" s="12" t="str">
        <f>HYPERLINK("https://www.boe.es/gazeta/dias/1807/02/13/pdfs/GMD-1807-15.pdf#page=8","Abrir facsímil")</f>
        <v>Abrir facsímil</v>
      </c>
      <c r="K4450" s="15" t="s">
        <v>22</v>
      </c>
    </row>
    <row r="4451" spans="1:11" ht="42" customHeight="1">
      <c r="A4451" s="4" t="s">
        <v>10391</v>
      </c>
      <c r="B4451" s="5" t="s">
        <v>10392</v>
      </c>
      <c r="C4451" s="5" t="s">
        <v>34</v>
      </c>
      <c r="D4451" s="5" t="s">
        <v>35</v>
      </c>
      <c r="E4451" s="5" t="s">
        <v>98</v>
      </c>
      <c r="F4451" s="9">
        <v>34</v>
      </c>
      <c r="G4451" s="9">
        <v>406</v>
      </c>
      <c r="H4451" s="5" t="s">
        <v>20</v>
      </c>
      <c r="I4451" s="5" t="s">
        <v>10393</v>
      </c>
      <c r="J4451" s="12" t="str">
        <f>HYPERLINK("https://www.boe.es/gazeta/dias/1807/04/17/pdfs/GMD-1807-34.pdf#page=10","Abrir facsímil")</f>
        <v>Abrir facsímil</v>
      </c>
      <c r="K4451" s="15" t="s">
        <v>22</v>
      </c>
    </row>
    <row r="4452" spans="1:11" ht="42" customHeight="1">
      <c r="A4452" s="4" t="s">
        <v>10394</v>
      </c>
      <c r="B4452" s="5" t="s">
        <v>10395</v>
      </c>
      <c r="C4452" s="5" t="s">
        <v>34</v>
      </c>
      <c r="D4452" s="5" t="s">
        <v>35</v>
      </c>
      <c r="E4452" s="5" t="s">
        <v>114</v>
      </c>
      <c r="F4452" s="9">
        <v>46</v>
      </c>
      <c r="G4452" s="9">
        <v>548</v>
      </c>
      <c r="H4452" s="5" t="s">
        <v>20</v>
      </c>
      <c r="I4452" s="5" t="s">
        <v>10396</v>
      </c>
      <c r="J4452" s="12" t="str">
        <f>HYPERLINK("https://www.boe.es/gazeta/dias/1807/05/29/pdfs/GMD-1807-46.pdf#page=6","Abrir facsímil")</f>
        <v>Abrir facsímil</v>
      </c>
      <c r="K4452" s="15" t="s">
        <v>22</v>
      </c>
    </row>
    <row r="4453" spans="1:11" ht="42" customHeight="1">
      <c r="A4453" s="4" t="s">
        <v>10397</v>
      </c>
      <c r="B4453" s="5" t="s">
        <v>10398</v>
      </c>
      <c r="C4453" s="5" t="s">
        <v>34</v>
      </c>
      <c r="D4453" s="5" t="s">
        <v>35</v>
      </c>
      <c r="E4453" s="5" t="s">
        <v>183</v>
      </c>
      <c r="F4453" s="9">
        <v>1</v>
      </c>
      <c r="G4453" s="9">
        <v>10</v>
      </c>
      <c r="H4453" s="5" t="s">
        <v>20</v>
      </c>
      <c r="I4453" s="5" t="s">
        <v>10399</v>
      </c>
      <c r="J4453" s="12" t="str">
        <f>HYPERLINK("https://www.boe.es/gazeta/dias/1807/01/02/pdfs/GMD-1807-1.pdf#page=10","Abrir facsímil")</f>
        <v>Abrir facsímil</v>
      </c>
      <c r="K4453" s="15" t="s">
        <v>22</v>
      </c>
    </row>
    <row r="4454" spans="1:11" ht="42" customHeight="1">
      <c r="A4454" s="4" t="s">
        <v>10400</v>
      </c>
      <c r="B4454" s="5" t="s">
        <v>10401</v>
      </c>
      <c r="C4454" s="5" t="s">
        <v>49</v>
      </c>
      <c r="D4454" s="5" t="s">
        <v>50</v>
      </c>
      <c r="E4454" s="5" t="s">
        <v>1934</v>
      </c>
      <c r="F4454" s="9">
        <v>2</v>
      </c>
      <c r="G4454" s="9">
        <v>17</v>
      </c>
      <c r="H4454" s="5" t="s">
        <v>20</v>
      </c>
      <c r="I4454" s="5" t="s">
        <v>10402</v>
      </c>
      <c r="J4454" s="12" t="str">
        <f>HYPERLINK("https://www.boe.es/gazeta/dias/1807/01/06/pdfs/GMD-1807-2.pdf#page=5","Abrir facsímil")</f>
        <v>Abrir facsímil</v>
      </c>
      <c r="K4454" s="15" t="s">
        <v>22</v>
      </c>
    </row>
    <row r="4455" spans="1:11" ht="42" customHeight="1">
      <c r="A4455" s="4" t="s">
        <v>10403</v>
      </c>
      <c r="B4455" s="5" t="s">
        <v>10404</v>
      </c>
      <c r="C4455" s="5" t="s">
        <v>49</v>
      </c>
      <c r="D4455" s="5" t="s">
        <v>50</v>
      </c>
      <c r="E4455" s="5" t="s">
        <v>1934</v>
      </c>
      <c r="F4455" s="9">
        <v>2</v>
      </c>
      <c r="G4455" s="9">
        <v>16</v>
      </c>
      <c r="H4455" s="5" t="s">
        <v>20</v>
      </c>
      <c r="I4455" s="5" t="s">
        <v>10405</v>
      </c>
      <c r="J4455" s="12" t="str">
        <f>HYPERLINK("https://www.boe.es/gazeta/dias/1807/01/06/pdfs/GMD-1807-2.pdf#page=4","Abrir facsímil")</f>
        <v>Abrir facsímil</v>
      </c>
      <c r="K4455" s="15" t="s">
        <v>22</v>
      </c>
    </row>
    <row r="4456" spans="1:11" ht="42" customHeight="1">
      <c r="A4456" s="4" t="s">
        <v>10406</v>
      </c>
      <c r="B4456" s="5" t="s">
        <v>10407</v>
      </c>
      <c r="C4456" s="5" t="s">
        <v>89</v>
      </c>
      <c r="D4456" s="5" t="s">
        <v>90</v>
      </c>
      <c r="E4456" s="5" t="s">
        <v>186</v>
      </c>
      <c r="F4456" s="9">
        <v>72</v>
      </c>
      <c r="G4456" s="9">
        <v>836</v>
      </c>
      <c r="H4456" s="5" t="s">
        <v>20</v>
      </c>
      <c r="I4456" s="5" t="s">
        <v>10408</v>
      </c>
      <c r="J4456" s="12" t="str">
        <f>HYPERLINK("https://www.boe.es/gazeta/dias/1807/08/11/pdfs/GMD-1807-72.pdf#page=16","Abrir facsímil")</f>
        <v>Abrir facsímil</v>
      </c>
      <c r="K4456" s="15" t="s">
        <v>22</v>
      </c>
    </row>
    <row r="4457" spans="1:11" ht="42" customHeight="1">
      <c r="A4457" s="4" t="s">
        <v>10409</v>
      </c>
      <c r="B4457" s="5" t="s">
        <v>10409</v>
      </c>
      <c r="C4457" s="5" t="s">
        <v>49</v>
      </c>
      <c r="D4457" s="5" t="s">
        <v>50</v>
      </c>
      <c r="E4457" s="5" t="s">
        <v>461</v>
      </c>
      <c r="F4457" s="9">
        <v>99</v>
      </c>
      <c r="G4457" s="9">
        <v>1147</v>
      </c>
      <c r="H4457" s="5" t="s">
        <v>20</v>
      </c>
      <c r="I4457" s="5" t="s">
        <v>10410</v>
      </c>
      <c r="J4457" s="12" t="str">
        <f>HYPERLINK("https://www.boe.es/gazeta/dias/1807/11/06/pdfs/GMD-1807-99.pdf#page=3","Abrir facsímil")</f>
        <v>Abrir facsímil</v>
      </c>
      <c r="K4457" s="15" t="s">
        <v>22</v>
      </c>
    </row>
    <row r="4458" spans="1:11" ht="42" customHeight="1">
      <c r="A4458" s="4" t="s">
        <v>10411</v>
      </c>
      <c r="B4458" s="5" t="s">
        <v>10411</v>
      </c>
      <c r="C4458" s="5" t="s">
        <v>28</v>
      </c>
      <c r="D4458" s="5" t="s">
        <v>29</v>
      </c>
      <c r="E4458" s="5" t="s">
        <v>327</v>
      </c>
      <c r="F4458" s="9">
        <v>108</v>
      </c>
      <c r="G4458" s="9">
        <v>1259</v>
      </c>
      <c r="H4458" s="5" t="s">
        <v>20</v>
      </c>
      <c r="I4458" s="5" t="s">
        <v>10412</v>
      </c>
      <c r="J4458" s="12" t="str">
        <f>HYPERLINK("https://www.boe.es/gazeta/dias/1807/12/04/pdfs/GMD-1807-108.pdf#page=7","Abrir facsímil")</f>
        <v>Abrir facsímil</v>
      </c>
      <c r="K4458" s="15" t="s">
        <v>22</v>
      </c>
    </row>
    <row r="4459" spans="1:11" ht="42" customHeight="1">
      <c r="A4459" s="4" t="s">
        <v>10413</v>
      </c>
      <c r="B4459" s="5" t="s">
        <v>10413</v>
      </c>
      <c r="C4459" s="5" t="s">
        <v>34</v>
      </c>
      <c r="D4459" s="5" t="s">
        <v>35</v>
      </c>
      <c r="E4459" s="5" t="s">
        <v>575</v>
      </c>
      <c r="F4459" s="9">
        <v>115</v>
      </c>
      <c r="G4459" s="9">
        <v>1339</v>
      </c>
      <c r="H4459" s="5" t="s">
        <v>20</v>
      </c>
      <c r="I4459" s="5" t="s">
        <v>10414</v>
      </c>
      <c r="J4459" s="12" t="str">
        <f>HYPERLINK("https://www.boe.es/gazeta/dias/1807/12/29/pdfs/GMD-1807-115.pdf#page=7","Abrir facsímil")</f>
        <v>Abrir facsímil</v>
      </c>
      <c r="K4459" s="15" t="s">
        <v>22</v>
      </c>
    </row>
    <row r="4460" spans="1:11" ht="42" customHeight="1">
      <c r="A4460" s="4" t="s">
        <v>10415</v>
      </c>
      <c r="B4460" s="5" t="s">
        <v>10415</v>
      </c>
      <c r="C4460" s="5" t="s">
        <v>28</v>
      </c>
      <c r="D4460" s="5" t="s">
        <v>29</v>
      </c>
      <c r="E4460" s="5" t="s">
        <v>30</v>
      </c>
      <c r="F4460" s="9">
        <v>13</v>
      </c>
      <c r="G4460" s="9">
        <v>152</v>
      </c>
      <c r="H4460" s="5" t="s">
        <v>20</v>
      </c>
      <c r="I4460" s="5" t="s">
        <v>10416</v>
      </c>
      <c r="J4460" s="12" t="str">
        <f>HYPERLINK("https://www.boe.es/gazeta/dias/1807/02/06/pdfs/GMD-1807-13.pdf#page=12","Abrir facsímil")</f>
        <v>Abrir facsímil</v>
      </c>
      <c r="K4460" s="15" t="s">
        <v>22</v>
      </c>
    </row>
    <row r="4461" spans="1:11" ht="42" customHeight="1">
      <c r="A4461" s="4" t="s">
        <v>10417</v>
      </c>
      <c r="B4461" s="5" t="s">
        <v>10418</v>
      </c>
      <c r="C4461" s="5" t="s">
        <v>89</v>
      </c>
      <c r="D4461" s="5" t="s">
        <v>90</v>
      </c>
      <c r="E4461" s="5" t="s">
        <v>305</v>
      </c>
      <c r="F4461" s="9">
        <v>53</v>
      </c>
      <c r="G4461" s="9">
        <v>638</v>
      </c>
      <c r="H4461" s="5" t="s">
        <v>20</v>
      </c>
      <c r="I4461" s="5" t="s">
        <v>10419</v>
      </c>
      <c r="J4461" s="12" t="str">
        <f>HYPERLINK("https://www.boe.es/gazeta/dias/1807/06/23/pdfs/GMD-1807-53.pdf#page=12","Abrir facsímil")</f>
        <v>Abrir facsímil</v>
      </c>
      <c r="K4461" s="15" t="s">
        <v>22</v>
      </c>
    </row>
    <row r="4462" spans="1:11" ht="42" customHeight="1">
      <c r="A4462" s="4" t="s">
        <v>10420</v>
      </c>
      <c r="B4462" s="5" t="s">
        <v>10421</v>
      </c>
      <c r="C4462" s="5" t="s">
        <v>34</v>
      </c>
      <c r="D4462" s="5" t="s">
        <v>35</v>
      </c>
      <c r="E4462" s="5" t="s">
        <v>282</v>
      </c>
      <c r="F4462" s="9">
        <v>16</v>
      </c>
      <c r="G4462" s="9">
        <v>185</v>
      </c>
      <c r="H4462" s="5" t="s">
        <v>20</v>
      </c>
      <c r="I4462" s="5" t="s">
        <v>10422</v>
      </c>
      <c r="J4462" s="12" t="str">
        <f>HYPERLINK("https://www.boe.es/gazeta/dias/1807/02/17/pdfs/GMD-1807-16.pdf#page=9","Abrir facsímil")</f>
        <v>Abrir facsímil</v>
      </c>
      <c r="K4462" s="15" t="s">
        <v>22</v>
      </c>
    </row>
    <row r="4463" spans="1:11" ht="42" customHeight="1">
      <c r="A4463" s="4" t="s">
        <v>10423</v>
      </c>
      <c r="B4463" s="5" t="s">
        <v>10424</v>
      </c>
      <c r="C4463" s="5" t="s">
        <v>34</v>
      </c>
      <c r="D4463" s="5" t="s">
        <v>35</v>
      </c>
      <c r="E4463" s="5" t="s">
        <v>65</v>
      </c>
      <c r="F4463" s="9">
        <v>52</v>
      </c>
      <c r="G4463" s="9">
        <v>621</v>
      </c>
      <c r="H4463" s="5" t="s">
        <v>20</v>
      </c>
      <c r="I4463" s="5" t="s">
        <v>10425</v>
      </c>
      <c r="J4463" s="12" t="str">
        <f>HYPERLINK("https://www.boe.es/gazeta/dias/1807/06/19/pdfs/GMD-1807-52.pdf#page=11","Abrir facsímil")</f>
        <v>Abrir facsímil</v>
      </c>
      <c r="K4463" s="15" t="s">
        <v>22</v>
      </c>
    </row>
    <row r="4464" spans="1:11" ht="42" customHeight="1">
      <c r="A4464" s="4" t="s">
        <v>10426</v>
      </c>
      <c r="B4464" s="5" t="s">
        <v>10427</v>
      </c>
      <c r="C4464" s="5" t="s">
        <v>34</v>
      </c>
      <c r="D4464" s="5" t="s">
        <v>35</v>
      </c>
      <c r="E4464" s="5" t="s">
        <v>127</v>
      </c>
      <c r="F4464" s="9">
        <v>81</v>
      </c>
      <c r="G4464" s="9">
        <v>946</v>
      </c>
      <c r="H4464" s="5" t="s">
        <v>20</v>
      </c>
      <c r="I4464" s="5" t="s">
        <v>10428</v>
      </c>
      <c r="J4464" s="12" t="str">
        <f>HYPERLINK("https://www.boe.es/gazeta/dias/1807/09/11/pdfs/GMD-1807-81.pdf#page=10","Abrir facsímil")</f>
        <v>Abrir facsímil</v>
      </c>
      <c r="K4464" s="15" t="s">
        <v>22</v>
      </c>
    </row>
    <row r="4465" spans="1:11" ht="42" customHeight="1">
      <c r="A4465" s="4" t="s">
        <v>10429</v>
      </c>
      <c r="B4465" s="5" t="s">
        <v>10430</v>
      </c>
      <c r="C4465" s="5" t="s">
        <v>34</v>
      </c>
      <c r="D4465" s="5" t="s">
        <v>35</v>
      </c>
      <c r="E4465" s="5" t="s">
        <v>19</v>
      </c>
      <c r="F4465" s="9">
        <v>41</v>
      </c>
      <c r="G4465" s="9">
        <v>489</v>
      </c>
      <c r="H4465" s="5" t="s">
        <v>20</v>
      </c>
      <c r="I4465" s="5" t="s">
        <v>10431</v>
      </c>
      <c r="J4465" s="12" t="str">
        <f>HYPERLINK("https://www.boe.es/gazeta/dias/1807/05/12/pdfs/GMD-1807-41.pdf#page=7","Abrir facsímil")</f>
        <v>Abrir facsímil</v>
      </c>
      <c r="K4465" s="15" t="s">
        <v>22</v>
      </c>
    </row>
    <row r="4466" spans="1:11" ht="42" customHeight="1">
      <c r="A4466" s="4" t="s">
        <v>10432</v>
      </c>
      <c r="B4466" s="5" t="s">
        <v>10433</v>
      </c>
      <c r="C4466" s="5" t="s">
        <v>89</v>
      </c>
      <c r="D4466" s="5" t="s">
        <v>90</v>
      </c>
      <c r="E4466" s="5" t="s">
        <v>152</v>
      </c>
      <c r="F4466" s="9">
        <v>61</v>
      </c>
      <c r="G4466" s="9">
        <v>726</v>
      </c>
      <c r="H4466" s="5" t="s">
        <v>20</v>
      </c>
      <c r="I4466" s="5" t="s">
        <v>10434</v>
      </c>
      <c r="J4466" s="12" t="str">
        <f>HYPERLINK("https://www.boe.es/gazeta/dias/1807/07/14/pdfs/GMD-1807-61.pdf#page=12","Abrir facsímil")</f>
        <v>Abrir facsímil</v>
      </c>
      <c r="K4466" s="15" t="s">
        <v>22</v>
      </c>
    </row>
    <row r="4467" spans="1:11" ht="42" customHeight="1">
      <c r="A4467" s="4" t="s">
        <v>10435</v>
      </c>
      <c r="B4467" s="5" t="s">
        <v>10436</v>
      </c>
      <c r="C4467" s="5" t="s">
        <v>28</v>
      </c>
      <c r="D4467" s="5" t="s">
        <v>29</v>
      </c>
      <c r="E4467" s="5" t="s">
        <v>149</v>
      </c>
      <c r="F4467" s="9">
        <v>38</v>
      </c>
      <c r="G4467" s="9">
        <v>456</v>
      </c>
      <c r="H4467" s="5" t="s">
        <v>20</v>
      </c>
      <c r="I4467" s="5" t="s">
        <v>10437</v>
      </c>
      <c r="J4467" s="12" t="str">
        <f>HYPERLINK("https://www.boe.es/gazeta/dias/1807/05/01/pdfs/GMD-1807-38.pdf#page=12","Abrir facsímil")</f>
        <v>Abrir facsímil</v>
      </c>
      <c r="K4467" s="15" t="s">
        <v>22</v>
      </c>
    </row>
    <row r="4468" spans="1:11" ht="42" customHeight="1">
      <c r="A4468" s="4" t="s">
        <v>10435</v>
      </c>
      <c r="B4468" s="5" t="s">
        <v>10436</v>
      </c>
      <c r="C4468" s="5" t="s">
        <v>89</v>
      </c>
      <c r="D4468" s="5" t="s">
        <v>90</v>
      </c>
      <c r="E4468" s="5" t="s">
        <v>929</v>
      </c>
      <c r="F4468" s="9">
        <v>85</v>
      </c>
      <c r="G4468" s="9">
        <v>995</v>
      </c>
      <c r="H4468" s="5" t="s">
        <v>20</v>
      </c>
      <c r="I4468" s="5" t="s">
        <v>10438</v>
      </c>
      <c r="J4468" s="12" t="str">
        <f>HYPERLINK("https://www.boe.es/gazeta/dias/1807/09/25/pdfs/GMD-1807-85.pdf#page=11","Abrir facsímil")</f>
        <v>Abrir facsímil</v>
      </c>
      <c r="K4468" s="15" t="s">
        <v>22</v>
      </c>
    </row>
    <row r="4469" spans="1:11" ht="42" customHeight="1">
      <c r="A4469" s="4" t="s">
        <v>10435</v>
      </c>
      <c r="B4469" s="5" t="s">
        <v>10436</v>
      </c>
      <c r="C4469" s="5" t="s">
        <v>89</v>
      </c>
      <c r="D4469" s="5" t="s">
        <v>90</v>
      </c>
      <c r="E4469" s="5" t="s">
        <v>426</v>
      </c>
      <c r="F4469" s="9">
        <v>93</v>
      </c>
      <c r="G4469" s="9">
        <v>1084</v>
      </c>
      <c r="H4469" s="5" t="s">
        <v>20</v>
      </c>
      <c r="I4469" s="5" t="s">
        <v>10439</v>
      </c>
      <c r="J4469" s="12" t="str">
        <f>HYPERLINK("https://www.boe.es/gazeta/dias/1807/10/16/pdfs/GMD-1807-93.pdf#page=12","Abrir facsímil")</f>
        <v>Abrir facsímil</v>
      </c>
      <c r="K4469" s="15" t="s">
        <v>22</v>
      </c>
    </row>
    <row r="4470" spans="1:11" ht="42" customHeight="1">
      <c r="A4470" s="4" t="s">
        <v>10440</v>
      </c>
      <c r="B4470" s="5" t="s">
        <v>10441</v>
      </c>
      <c r="C4470" s="5" t="s">
        <v>49</v>
      </c>
      <c r="D4470" s="5" t="s">
        <v>50</v>
      </c>
      <c r="E4470" s="5" t="s">
        <v>176</v>
      </c>
      <c r="F4470" s="9">
        <v>17</v>
      </c>
      <c r="G4470" s="9">
        <v>191</v>
      </c>
      <c r="H4470" s="5" t="s">
        <v>20</v>
      </c>
      <c r="I4470" s="5" t="s">
        <v>10442</v>
      </c>
      <c r="J4470" s="12" t="str">
        <f>HYPERLINK("https://www.boe.es/gazeta/dias/1807/02/20/pdfs/GMD-1807-17.pdf#page=3","Abrir facsímil")</f>
        <v>Abrir facsímil</v>
      </c>
      <c r="K4470" s="15" t="s">
        <v>22</v>
      </c>
    </row>
    <row r="4471" spans="1:11" ht="42" customHeight="1">
      <c r="A4471" s="4" t="s">
        <v>10443</v>
      </c>
      <c r="B4471" s="5" t="s">
        <v>10444</v>
      </c>
      <c r="C4471" s="5" t="s">
        <v>34</v>
      </c>
      <c r="D4471" s="5" t="s">
        <v>35</v>
      </c>
      <c r="E4471" s="5" t="s">
        <v>86</v>
      </c>
      <c r="F4471" s="9">
        <v>12</v>
      </c>
      <c r="G4471" s="9">
        <v>131</v>
      </c>
      <c r="H4471" s="5" t="s">
        <v>20</v>
      </c>
      <c r="I4471" s="5" t="s">
        <v>10445</v>
      </c>
      <c r="J4471" s="12" t="str">
        <f>HYPERLINK("https://www.boe.es/gazeta/dias/1807/02/03/pdfs/GMD-1807-12.pdf#page=3","Abrir facsímil")</f>
        <v>Abrir facsímil</v>
      </c>
      <c r="K4471" s="15" t="s">
        <v>22</v>
      </c>
    </row>
    <row r="4472" spans="1:11" ht="42" customHeight="1">
      <c r="A4472" s="4" t="s">
        <v>10446</v>
      </c>
      <c r="B4472" s="5" t="s">
        <v>10447</v>
      </c>
      <c r="C4472" s="5" t="s">
        <v>34</v>
      </c>
      <c r="D4472" s="5" t="s">
        <v>35</v>
      </c>
      <c r="E4472" s="5" t="s">
        <v>131</v>
      </c>
      <c r="F4472" s="9">
        <v>28</v>
      </c>
      <c r="G4472" s="9">
        <v>334</v>
      </c>
      <c r="H4472" s="5" t="s">
        <v>20</v>
      </c>
      <c r="I4472" s="5" t="s">
        <v>10448</v>
      </c>
      <c r="J4472" s="12" t="str">
        <f>HYPERLINK("https://www.boe.es/gazeta/dias/1807/03/27/pdfs/GMD-1807-28.pdf#page=6","Abrir facsímil")</f>
        <v>Abrir facsímil</v>
      </c>
      <c r="K4472" s="15" t="s">
        <v>22</v>
      </c>
    </row>
    <row r="4473" spans="1:11" ht="42" customHeight="1">
      <c r="A4473" s="4" t="s">
        <v>10449</v>
      </c>
      <c r="B4473" s="5" t="s">
        <v>10450</v>
      </c>
      <c r="C4473" s="5" t="s">
        <v>34</v>
      </c>
      <c r="D4473" s="5" t="s">
        <v>35</v>
      </c>
      <c r="E4473" s="5" t="s">
        <v>666</v>
      </c>
      <c r="F4473" s="9">
        <v>43</v>
      </c>
      <c r="G4473" s="9">
        <v>515</v>
      </c>
      <c r="H4473" s="5" t="s">
        <v>20</v>
      </c>
      <c r="I4473" s="5" t="s">
        <v>10451</v>
      </c>
      <c r="J4473" s="12" t="str">
        <f>HYPERLINK("https://www.boe.es/gazeta/dias/1807/05/19/pdfs/GMD-1807-43.pdf#page=9","Abrir facsímil")</f>
        <v>Abrir facsímil</v>
      </c>
      <c r="K4473" s="15" t="s">
        <v>22</v>
      </c>
    </row>
    <row r="4474" spans="1:11" ht="42" customHeight="1">
      <c r="A4474" s="4" t="s">
        <v>10452</v>
      </c>
      <c r="B4474" s="5" t="s">
        <v>10452</v>
      </c>
      <c r="C4474" s="5" t="s">
        <v>34</v>
      </c>
      <c r="D4474" s="5" t="s">
        <v>35</v>
      </c>
      <c r="E4474" s="5" t="s">
        <v>350</v>
      </c>
      <c r="F4474" s="9">
        <v>112</v>
      </c>
      <c r="G4474" s="9">
        <v>1305</v>
      </c>
      <c r="H4474" s="5" t="s">
        <v>20</v>
      </c>
      <c r="I4474" s="5" t="s">
        <v>10453</v>
      </c>
      <c r="J4474" s="12" t="str">
        <f>HYPERLINK("https://www.boe.es/gazeta/dias/1807/12/18/pdfs/GMD-1807-112.pdf#page=5","Abrir facsímil")</f>
        <v>Abrir facsímil</v>
      </c>
      <c r="K4474" s="15" t="s">
        <v>22</v>
      </c>
    </row>
    <row r="4475" spans="1:11" ht="42" customHeight="1">
      <c r="A4475" s="4" t="s">
        <v>10454</v>
      </c>
      <c r="B4475" s="5" t="s">
        <v>10454</v>
      </c>
      <c r="C4475" s="5" t="s">
        <v>252</v>
      </c>
      <c r="D4475" s="5" t="s">
        <v>253</v>
      </c>
      <c r="E4475" s="5" t="s">
        <v>1187</v>
      </c>
      <c r="F4475" s="9" t="s">
        <v>1188</v>
      </c>
      <c r="G4475" s="9">
        <v>679</v>
      </c>
      <c r="H4475" s="5" t="s">
        <v>20</v>
      </c>
      <c r="I4475" s="5" t="s">
        <v>10455</v>
      </c>
      <c r="J4475" s="12" t="str">
        <f>HYPERLINK("https://www.boe.es/gazeta/dias/1807/07/04/pdfs/GMD-1807-57E.pdf#page=5","Abrir facsímil")</f>
        <v>Abrir facsímil</v>
      </c>
      <c r="K4475" s="15" t="s">
        <v>22</v>
      </c>
    </row>
    <row r="4476" spans="1:11" ht="42" customHeight="1">
      <c r="A4476" s="4" t="s">
        <v>10456</v>
      </c>
      <c r="B4476" s="5" t="s">
        <v>10457</v>
      </c>
      <c r="C4476" s="5" t="s">
        <v>49</v>
      </c>
      <c r="D4476" s="5" t="s">
        <v>50</v>
      </c>
      <c r="E4476" s="5" t="s">
        <v>572</v>
      </c>
      <c r="F4476" s="9">
        <v>14</v>
      </c>
      <c r="G4476" s="9">
        <v>159</v>
      </c>
      <c r="H4476" s="5" t="s">
        <v>20</v>
      </c>
      <c r="I4476" s="5" t="s">
        <v>10458</v>
      </c>
      <c r="J4476" s="12" t="str">
        <f>HYPERLINK("https://www.boe.es/gazeta/dias/1807/02/10/pdfs/GMD-1807-14.pdf#page=7","Abrir facsímil")</f>
        <v>Abrir facsímil</v>
      </c>
      <c r="K4476" s="15" t="s">
        <v>22</v>
      </c>
    </row>
    <row r="4477" spans="1:11" ht="42" customHeight="1">
      <c r="A4477" s="4" t="s">
        <v>10459</v>
      </c>
      <c r="B4477" s="5" t="s">
        <v>10460</v>
      </c>
      <c r="C4477" s="5" t="s">
        <v>89</v>
      </c>
      <c r="D4477" s="5" t="s">
        <v>90</v>
      </c>
      <c r="E4477" s="5" t="s">
        <v>109</v>
      </c>
      <c r="F4477" s="9">
        <v>58</v>
      </c>
      <c r="G4477" s="9">
        <v>693</v>
      </c>
      <c r="H4477" s="5" t="s">
        <v>20</v>
      </c>
      <c r="I4477" s="5" t="s">
        <v>10461</v>
      </c>
      <c r="J4477" s="12" t="str">
        <f>HYPERLINK("https://www.boe.es/gazeta/dias/1807/07/07/pdfs/GMD-1807-58.pdf#page=11","Abrir facsímil")</f>
        <v>Abrir facsímil</v>
      </c>
      <c r="K4477" s="15" t="s">
        <v>22</v>
      </c>
    </row>
    <row r="4478" spans="1:11" ht="42" customHeight="1">
      <c r="A4478" s="4" t="s">
        <v>10462</v>
      </c>
      <c r="B4478" s="5" t="s">
        <v>10463</v>
      </c>
      <c r="C4478" s="5" t="s">
        <v>24</v>
      </c>
      <c r="D4478" s="5" t="s">
        <v>18</v>
      </c>
      <c r="E4478" s="5" t="s">
        <v>46</v>
      </c>
      <c r="F4478" s="9">
        <v>78</v>
      </c>
      <c r="G4478" s="9">
        <v>904</v>
      </c>
      <c r="H4478" s="5" t="s">
        <v>20</v>
      </c>
      <c r="I4478" s="5" t="s">
        <v>10464</v>
      </c>
      <c r="J4478" s="12" t="str">
        <f>HYPERLINK("https://www.boe.es/gazeta/dias/1807/09/01/pdfs/GMD-1807-78.pdf#page=8","Abrir facsímil")</f>
        <v>Abrir facsímil</v>
      </c>
      <c r="K4478" s="15" t="s">
        <v>22</v>
      </c>
    </row>
    <row r="4479" spans="1:11" ht="42" customHeight="1">
      <c r="A4479" s="4" t="s">
        <v>10465</v>
      </c>
      <c r="B4479" s="5" t="s">
        <v>10466</v>
      </c>
      <c r="C4479" s="5" t="s">
        <v>49</v>
      </c>
      <c r="D4479" s="5" t="s">
        <v>50</v>
      </c>
      <c r="E4479" s="5" t="s">
        <v>46</v>
      </c>
      <c r="F4479" s="9">
        <v>78</v>
      </c>
      <c r="G4479" s="9">
        <v>900</v>
      </c>
      <c r="H4479" s="5" t="s">
        <v>20</v>
      </c>
      <c r="I4479" s="5" t="s">
        <v>10467</v>
      </c>
      <c r="J4479" s="12" t="str">
        <f>HYPERLINK("https://www.boe.es/gazeta/dias/1807/09/01/pdfs/GMD-1807-78.pdf#page=4","Abrir facsímil")</f>
        <v>Abrir facsímil</v>
      </c>
      <c r="K4479" s="15" t="s">
        <v>22</v>
      </c>
    </row>
    <row r="4480" spans="1:11" ht="42" customHeight="1">
      <c r="A4480" s="4" t="s">
        <v>10468</v>
      </c>
      <c r="B4480" s="5" t="s">
        <v>10469</v>
      </c>
      <c r="C4480" s="5" t="s">
        <v>34</v>
      </c>
      <c r="D4480" s="5" t="s">
        <v>35</v>
      </c>
      <c r="E4480" s="5" t="s">
        <v>414</v>
      </c>
      <c r="F4480" s="9">
        <v>40</v>
      </c>
      <c r="G4480" s="9">
        <v>479</v>
      </c>
      <c r="H4480" s="5" t="s">
        <v>20</v>
      </c>
      <c r="I4480" s="5" t="s">
        <v>10470</v>
      </c>
      <c r="J4480" s="12" t="str">
        <f>HYPERLINK("https://www.boe.es/gazeta/dias/1807/05/08/pdfs/GMD-1807-40.pdf#page=9","Abrir facsímil")</f>
        <v>Abrir facsímil</v>
      </c>
      <c r="K4480" s="15" t="s">
        <v>22</v>
      </c>
    </row>
    <row r="4481" spans="1:11" ht="42" customHeight="1">
      <c r="A4481" s="4" t="s">
        <v>10471</v>
      </c>
      <c r="B4481" s="5" t="s">
        <v>10471</v>
      </c>
      <c r="C4481" s="5" t="s">
        <v>49</v>
      </c>
      <c r="D4481" s="5" t="s">
        <v>50</v>
      </c>
      <c r="E4481" s="5" t="s">
        <v>79</v>
      </c>
      <c r="F4481" s="9">
        <v>11</v>
      </c>
      <c r="G4481" s="9">
        <v>123</v>
      </c>
      <c r="H4481" s="5" t="s">
        <v>20</v>
      </c>
      <c r="I4481" s="5" t="s">
        <v>10472</v>
      </c>
      <c r="J4481" s="12" t="str">
        <f>HYPERLINK("https://www.boe.es/gazeta/dias/1807/01/30/pdfs/GMD-1807-11.pdf#page=7","Abrir facsímil")</f>
        <v>Abrir facsímil</v>
      </c>
      <c r="K4481" s="15" t="s">
        <v>22</v>
      </c>
    </row>
    <row r="4482" spans="1:11" ht="42" customHeight="1">
      <c r="A4482" s="4" t="s">
        <v>10473</v>
      </c>
      <c r="B4482" s="5" t="s">
        <v>10474</v>
      </c>
      <c r="C4482" s="5" t="s">
        <v>28</v>
      </c>
      <c r="D4482" s="5" t="s">
        <v>29</v>
      </c>
      <c r="E4482" s="5" t="s">
        <v>296</v>
      </c>
      <c r="F4482" s="9">
        <v>102</v>
      </c>
      <c r="G4482" s="9">
        <v>1192</v>
      </c>
      <c r="H4482" s="5" t="s">
        <v>20</v>
      </c>
      <c r="I4482" s="5" t="s">
        <v>10475</v>
      </c>
      <c r="J4482" s="12" t="str">
        <f>HYPERLINK("https://www.boe.es/gazeta/dias/1807/11/17/pdfs/GMD-1807-102.pdf#page=12","Abrir facsímil")</f>
        <v>Abrir facsímil</v>
      </c>
      <c r="K4482" s="15" t="s">
        <v>22</v>
      </c>
    </row>
    <row r="4483" spans="1:11" ht="42" customHeight="1">
      <c r="A4483" s="4" t="s">
        <v>10476</v>
      </c>
      <c r="B4483" s="5" t="s">
        <v>10477</v>
      </c>
      <c r="C4483" s="5" t="s">
        <v>69</v>
      </c>
      <c r="D4483" s="5" t="s">
        <v>70</v>
      </c>
      <c r="E4483" s="5" t="s">
        <v>71</v>
      </c>
      <c r="F4483" s="9">
        <v>35</v>
      </c>
      <c r="G4483" s="9" t="s">
        <v>197</v>
      </c>
      <c r="H4483" s="5" t="s">
        <v>20</v>
      </c>
      <c r="I4483" s="5" t="s">
        <v>10478</v>
      </c>
      <c r="J4483" s="12" t="str">
        <f>HYPERLINK("https://www.boe.es/gazeta/dias/1807/04/21/pdfs/C00001-00004.pdf#page=3","Abrir facsímil")</f>
        <v>Abrir facsímil</v>
      </c>
      <c r="K4483" s="15" t="s">
        <v>22</v>
      </c>
    </row>
    <row r="4484" spans="1:11" ht="42" customHeight="1">
      <c r="A4484" s="4" t="s">
        <v>10479</v>
      </c>
      <c r="B4484" s="5" t="s">
        <v>10479</v>
      </c>
      <c r="C4484" s="5" t="s">
        <v>17</v>
      </c>
      <c r="D4484" s="5" t="s">
        <v>18</v>
      </c>
      <c r="E4484" s="5" t="s">
        <v>51</v>
      </c>
      <c r="F4484" s="9">
        <v>62</v>
      </c>
      <c r="G4484" s="9">
        <v>728</v>
      </c>
      <c r="H4484" s="5" t="s">
        <v>20</v>
      </c>
      <c r="I4484" s="5" t="s">
        <v>10480</v>
      </c>
      <c r="J4484" s="12" t="str">
        <f>HYPERLINK("https://www.boe.es/gazeta/dias/1807/07/17/pdfs/GMD-1807-62.pdf#page=2","Abrir facsímil")</f>
        <v>Abrir facsímil</v>
      </c>
      <c r="K4484" s="15" t="s">
        <v>22</v>
      </c>
    </row>
    <row r="4485" spans="1:11" ht="42" customHeight="1">
      <c r="A4485" s="4" t="s">
        <v>10481</v>
      </c>
      <c r="B4485" s="5" t="s">
        <v>10481</v>
      </c>
      <c r="C4485" s="5" t="s">
        <v>28</v>
      </c>
      <c r="D4485" s="5" t="s">
        <v>29</v>
      </c>
      <c r="E4485" s="5" t="s">
        <v>123</v>
      </c>
      <c r="F4485" s="9">
        <v>70</v>
      </c>
      <c r="G4485" s="9">
        <v>805</v>
      </c>
      <c r="H4485" s="5" t="s">
        <v>20</v>
      </c>
      <c r="I4485" s="5" t="s">
        <v>10482</v>
      </c>
      <c r="J4485" s="12" t="str">
        <f>HYPERLINK("https://www.boe.es/gazeta/dias/1807/08/04/pdfs/GMD-1807-70.pdf#page=9","Abrir facsímil")</f>
        <v>Abrir facsímil</v>
      </c>
      <c r="K4485" s="15" t="s">
        <v>22</v>
      </c>
    </row>
    <row r="4486" spans="1:11" ht="42" customHeight="1">
      <c r="A4486" s="4" t="s">
        <v>10483</v>
      </c>
      <c r="B4486" s="5" t="s">
        <v>10484</v>
      </c>
      <c r="C4486" s="5" t="s">
        <v>28</v>
      </c>
      <c r="D4486" s="5" t="s">
        <v>29</v>
      </c>
      <c r="E4486" s="5" t="s">
        <v>266</v>
      </c>
      <c r="F4486" s="9">
        <v>67</v>
      </c>
      <c r="G4486" s="9">
        <v>771</v>
      </c>
      <c r="H4486" s="5" t="s">
        <v>20</v>
      </c>
      <c r="I4486" s="5" t="s">
        <v>10485</v>
      </c>
      <c r="J4486" s="12" t="str">
        <f>HYPERLINK("https://www.boe.es/gazeta/dias/1807/07/28/pdfs/GMD-1807-67.pdf#page=7","Abrir facsímil")</f>
        <v>Abrir facsímil</v>
      </c>
      <c r="K4486" s="15" t="s">
        <v>22</v>
      </c>
    </row>
    <row r="4487" spans="1:11" ht="42" customHeight="1">
      <c r="A4487" s="4" t="s">
        <v>10486</v>
      </c>
      <c r="B4487" s="5" t="s">
        <v>10487</v>
      </c>
      <c r="C4487" s="5" t="s">
        <v>28</v>
      </c>
      <c r="D4487" s="5" t="s">
        <v>29</v>
      </c>
      <c r="E4487" s="5" t="s">
        <v>19</v>
      </c>
      <c r="F4487" s="9">
        <v>41</v>
      </c>
      <c r="G4487" s="9">
        <v>490</v>
      </c>
      <c r="H4487" s="5" t="s">
        <v>20</v>
      </c>
      <c r="I4487" s="5" t="s">
        <v>10488</v>
      </c>
      <c r="J4487" s="12" t="str">
        <f>HYPERLINK("https://www.boe.es/gazeta/dias/1807/05/12/pdfs/GMD-1807-41.pdf#page=8","Abrir facsímil")</f>
        <v>Abrir facsímil</v>
      </c>
      <c r="K4487" s="15" t="s">
        <v>22</v>
      </c>
    </row>
    <row r="4488" spans="1:11" ht="42" customHeight="1">
      <c r="A4488" s="4" t="s">
        <v>10489</v>
      </c>
      <c r="B4488" s="5" t="s">
        <v>10490</v>
      </c>
      <c r="C4488" s="5" t="s">
        <v>34</v>
      </c>
      <c r="D4488" s="5" t="s">
        <v>35</v>
      </c>
      <c r="E4488" s="5" t="s">
        <v>190</v>
      </c>
      <c r="F4488" s="9">
        <v>37</v>
      </c>
      <c r="G4488" s="9">
        <v>440</v>
      </c>
      <c r="H4488" s="5" t="s">
        <v>20</v>
      </c>
      <c r="I4488" s="5" t="s">
        <v>10491</v>
      </c>
      <c r="J4488" s="12" t="str">
        <f>HYPERLINK("https://www.boe.es/gazeta/dias/1807/04/28/pdfs/GMD-1807-37.pdf#page=8","Abrir facsímil")</f>
        <v>Abrir facsímil</v>
      </c>
      <c r="K4488" s="15" t="s">
        <v>22</v>
      </c>
    </row>
    <row r="4489" spans="1:11" ht="42" customHeight="1">
      <c r="A4489" s="4" t="s">
        <v>10492</v>
      </c>
      <c r="B4489" s="5" t="s">
        <v>10493</v>
      </c>
      <c r="C4489" s="5" t="s">
        <v>28</v>
      </c>
      <c r="D4489" s="5" t="s">
        <v>29</v>
      </c>
      <c r="E4489" s="5" t="s">
        <v>686</v>
      </c>
      <c r="F4489" s="9">
        <v>106</v>
      </c>
      <c r="G4489" s="9">
        <v>1237</v>
      </c>
      <c r="H4489" s="5" t="s">
        <v>20</v>
      </c>
      <c r="I4489" s="5" t="s">
        <v>10494</v>
      </c>
      <c r="J4489" s="12" t="str">
        <f>HYPERLINK("https://www.boe.es/gazeta/dias/1807/11/27/pdfs/GMD-1807-106.pdf#page=9","Abrir facsímil")</f>
        <v>Abrir facsímil</v>
      </c>
      <c r="K4489" s="15" t="s">
        <v>22</v>
      </c>
    </row>
    <row r="4490" spans="1:11" ht="42" customHeight="1">
      <c r="A4490" s="4" t="s">
        <v>10495</v>
      </c>
      <c r="B4490" s="5" t="s">
        <v>10495</v>
      </c>
      <c r="C4490" s="5" t="s">
        <v>28</v>
      </c>
      <c r="D4490" s="5" t="s">
        <v>29</v>
      </c>
      <c r="E4490" s="5" t="s">
        <v>221</v>
      </c>
      <c r="F4490" s="9">
        <v>73</v>
      </c>
      <c r="G4490" s="9">
        <v>844</v>
      </c>
      <c r="H4490" s="5" t="s">
        <v>20</v>
      </c>
      <c r="I4490" s="5" t="s">
        <v>10496</v>
      </c>
      <c r="J4490" s="12" t="str">
        <f>HYPERLINK("https://www.boe.es/gazeta/dias/1807/08/14/pdfs/GMD-1807-73.pdf#page=8","Abrir facsímil")</f>
        <v>Abrir facsímil</v>
      </c>
      <c r="K4490" s="15" t="s">
        <v>22</v>
      </c>
    </row>
    <row r="4491" spans="1:11" ht="42" customHeight="1">
      <c r="A4491" s="4" t="s">
        <v>10497</v>
      </c>
      <c r="B4491" s="5" t="s">
        <v>10497</v>
      </c>
      <c r="C4491" s="5" t="s">
        <v>2383</v>
      </c>
      <c r="D4491" s="5" t="s">
        <v>2384</v>
      </c>
      <c r="E4491" s="5" t="s">
        <v>215</v>
      </c>
      <c r="F4491" s="9">
        <v>5</v>
      </c>
      <c r="G4491" s="9">
        <v>58</v>
      </c>
      <c r="H4491" s="5" t="s">
        <v>20</v>
      </c>
      <c r="I4491" s="5" t="s">
        <v>10498</v>
      </c>
      <c r="J4491" s="12" t="str">
        <f>HYPERLINK("https://www.boe.es/gazeta/dias/1807/01/16/pdfs/GMD-C-1807-5.pdf#page=2","Abrir facsímil")</f>
        <v>Abrir facsímil</v>
      </c>
      <c r="K4491" s="15" t="s">
        <v>22</v>
      </c>
    </row>
    <row r="4492" spans="1:11" ht="42" customHeight="1">
      <c r="A4492" s="4" t="s">
        <v>10499</v>
      </c>
      <c r="B4492" s="5" t="s">
        <v>10500</v>
      </c>
      <c r="C4492" s="5" t="s">
        <v>34</v>
      </c>
      <c r="D4492" s="5" t="s">
        <v>35</v>
      </c>
      <c r="E4492" s="5" t="s">
        <v>123</v>
      </c>
      <c r="F4492" s="9">
        <v>70</v>
      </c>
      <c r="G4492" s="9">
        <v>806</v>
      </c>
      <c r="H4492" s="5" t="s">
        <v>20</v>
      </c>
      <c r="I4492" s="5" t="s">
        <v>10501</v>
      </c>
      <c r="J4492" s="12" t="str">
        <f>HYPERLINK("https://www.boe.es/gazeta/dias/1807/08/04/pdfs/GMD-1807-70.pdf#page=10","Abrir facsímil")</f>
        <v>Abrir facsímil</v>
      </c>
      <c r="K4492" s="15" t="s">
        <v>22</v>
      </c>
    </row>
    <row r="4493" spans="1:11" ht="42" customHeight="1">
      <c r="A4493" s="4" t="s">
        <v>10502</v>
      </c>
      <c r="B4493" s="5" t="s">
        <v>10503</v>
      </c>
      <c r="C4493" s="5" t="s">
        <v>34</v>
      </c>
      <c r="D4493" s="5" t="s">
        <v>35</v>
      </c>
      <c r="E4493" s="5" t="s">
        <v>414</v>
      </c>
      <c r="F4493" s="9">
        <v>40</v>
      </c>
      <c r="G4493" s="9">
        <v>475</v>
      </c>
      <c r="H4493" s="5" t="s">
        <v>20</v>
      </c>
      <c r="I4493" s="5" t="s">
        <v>10504</v>
      </c>
      <c r="J4493" s="12" t="str">
        <f>HYPERLINK("https://www.boe.es/gazeta/dias/1807/05/08/pdfs/GMD-1807-40.pdf#page=5","Abrir facsímil")</f>
        <v>Abrir facsímil</v>
      </c>
      <c r="K4493" s="15" t="s">
        <v>22</v>
      </c>
    </row>
    <row r="4494" spans="1:11" ht="42" customHeight="1">
      <c r="A4494" s="4" t="s">
        <v>10505</v>
      </c>
      <c r="B4494" s="5" t="s">
        <v>10506</v>
      </c>
      <c r="C4494" s="5" t="s">
        <v>34</v>
      </c>
      <c r="D4494" s="5" t="s">
        <v>35</v>
      </c>
      <c r="E4494" s="5" t="s">
        <v>259</v>
      </c>
      <c r="F4494" s="9">
        <v>3</v>
      </c>
      <c r="G4494" s="9">
        <v>27</v>
      </c>
      <c r="H4494" s="5" t="s">
        <v>20</v>
      </c>
      <c r="I4494" s="5" t="s">
        <v>10507</v>
      </c>
      <c r="J4494" s="12" t="str">
        <f>HYPERLINK("https://www.boe.es/gazeta/dias/1807/01/09/pdfs/GMD-1807-3.pdf#page=7","Abrir facsímil")</f>
        <v>Abrir facsímil</v>
      </c>
      <c r="K4494" s="15" t="s">
        <v>22</v>
      </c>
    </row>
    <row r="4495" spans="1:11" ht="42" customHeight="1">
      <c r="A4495" s="4" t="s">
        <v>10508</v>
      </c>
      <c r="B4495" s="5" t="s">
        <v>10509</v>
      </c>
      <c r="C4495" s="5" t="s">
        <v>49</v>
      </c>
      <c r="D4495" s="5" t="s">
        <v>50</v>
      </c>
      <c r="E4495" s="5" t="s">
        <v>79</v>
      </c>
      <c r="F4495" s="9">
        <v>11</v>
      </c>
      <c r="G4495" s="9">
        <v>122</v>
      </c>
      <c r="H4495" s="5" t="s">
        <v>20</v>
      </c>
      <c r="I4495" s="5" t="s">
        <v>10510</v>
      </c>
      <c r="J4495" s="12" t="str">
        <f>HYPERLINK("https://www.boe.es/gazeta/dias/1807/01/30/pdfs/GMD-1807-11.pdf#page=6","Abrir facsímil")</f>
        <v>Abrir facsímil</v>
      </c>
      <c r="K4495" s="15" t="s">
        <v>22</v>
      </c>
    </row>
    <row r="4496" spans="1:11" ht="42" customHeight="1">
      <c r="A4496" s="4" t="s">
        <v>10511</v>
      </c>
      <c r="B4496" s="5" t="s">
        <v>10511</v>
      </c>
      <c r="C4496" s="5" t="s">
        <v>28</v>
      </c>
      <c r="D4496" s="5" t="s">
        <v>29</v>
      </c>
      <c r="E4496" s="5" t="s">
        <v>208</v>
      </c>
      <c r="F4496" s="9">
        <v>42</v>
      </c>
      <c r="G4496" s="9">
        <v>505</v>
      </c>
      <c r="H4496" s="5" t="s">
        <v>20</v>
      </c>
      <c r="I4496" s="5" t="s">
        <v>10512</v>
      </c>
      <c r="J4496" s="12" t="str">
        <f>HYPERLINK("https://www.boe.es/gazeta/dias/1807/05/15/pdfs/GMD-1807-42.pdf#page=11","Abrir facsímil")</f>
        <v>Abrir facsímil</v>
      </c>
      <c r="K4496" s="15" t="s">
        <v>22</v>
      </c>
    </row>
    <row r="4497" spans="1:11" ht="42" customHeight="1">
      <c r="A4497" s="4" t="s">
        <v>10513</v>
      </c>
      <c r="B4497" s="5" t="s">
        <v>10514</v>
      </c>
      <c r="C4497" s="5" t="s">
        <v>17</v>
      </c>
      <c r="D4497" s="5" t="s">
        <v>18</v>
      </c>
      <c r="E4497" s="5" t="s">
        <v>40</v>
      </c>
      <c r="F4497" s="9">
        <v>26</v>
      </c>
      <c r="G4497" s="9">
        <v>312</v>
      </c>
      <c r="H4497" s="5" t="s">
        <v>20</v>
      </c>
      <c r="I4497" s="5" t="s">
        <v>10515</v>
      </c>
      <c r="J4497" s="12" t="str">
        <f>HYPERLINK("https://www.boe.es/gazeta/dias/1807/03/20/pdfs/GMD-1807-26.pdf#page=8","Abrir facsímil")</f>
        <v>Abrir facsímil</v>
      </c>
      <c r="K4497" s="15" t="s">
        <v>22</v>
      </c>
    </row>
    <row r="4498" spans="1:11" ht="42" customHeight="1">
      <c r="A4498" s="4" t="s">
        <v>10513</v>
      </c>
      <c r="B4498" s="5" t="s">
        <v>10514</v>
      </c>
      <c r="C4498" s="5" t="s">
        <v>34</v>
      </c>
      <c r="D4498" s="5" t="s">
        <v>35</v>
      </c>
      <c r="E4498" s="5" t="s">
        <v>40</v>
      </c>
      <c r="F4498" s="9">
        <v>26</v>
      </c>
      <c r="G4498" s="9">
        <v>313</v>
      </c>
      <c r="H4498" s="5" t="s">
        <v>20</v>
      </c>
      <c r="I4498" s="5" t="s">
        <v>10516</v>
      </c>
      <c r="J4498" s="12" t="str">
        <f>HYPERLINK("https://www.boe.es/gazeta/dias/1807/03/20/pdfs/GMD-1807-26.pdf#page=9","Abrir facsímil")</f>
        <v>Abrir facsímil</v>
      </c>
      <c r="K4498" s="15" t="s">
        <v>22</v>
      </c>
    </row>
    <row r="4499" spans="1:11" ht="42" customHeight="1">
      <c r="A4499" s="4" t="s">
        <v>10513</v>
      </c>
      <c r="B4499" s="5" t="s">
        <v>10514</v>
      </c>
      <c r="C4499" s="5" t="s">
        <v>34</v>
      </c>
      <c r="D4499" s="5" t="s">
        <v>35</v>
      </c>
      <c r="E4499" s="5" t="s">
        <v>53</v>
      </c>
      <c r="F4499" s="9">
        <v>64</v>
      </c>
      <c r="G4499" s="9">
        <v>747</v>
      </c>
      <c r="H4499" s="5" t="s">
        <v>20</v>
      </c>
      <c r="I4499" s="5" t="s">
        <v>10517</v>
      </c>
      <c r="J4499" s="12" t="str">
        <f>HYPERLINK("https://www.boe.es/gazeta/dias/1807/07/21/pdfs/GMD-1807-64.pdf#page=9","Abrir facsímil")</f>
        <v>Abrir facsímil</v>
      </c>
      <c r="K4499" s="15" t="s">
        <v>22</v>
      </c>
    </row>
    <row r="4500" spans="1:11" ht="42" customHeight="1">
      <c r="A4500" s="4" t="s">
        <v>10518</v>
      </c>
      <c r="B4500" s="5" t="s">
        <v>10518</v>
      </c>
      <c r="C4500" s="5" t="s">
        <v>49</v>
      </c>
      <c r="D4500" s="5" t="s">
        <v>50</v>
      </c>
      <c r="E4500" s="5" t="s">
        <v>94</v>
      </c>
      <c r="F4500" s="9">
        <v>22</v>
      </c>
      <c r="G4500" s="9">
        <v>250</v>
      </c>
      <c r="H4500" s="5" t="s">
        <v>20</v>
      </c>
      <c r="I4500" s="5" t="s">
        <v>10519</v>
      </c>
      <c r="J4500" s="12" t="str">
        <f>HYPERLINK("https://www.boe.es/gazeta/dias/1807/03/06/pdfs/GMD-1807-22.pdf#page=2","Abrir facsímil")</f>
        <v>Abrir facsímil</v>
      </c>
      <c r="K4500" s="15" t="s">
        <v>22</v>
      </c>
    </row>
    <row r="4501" spans="1:11" ht="42" customHeight="1">
      <c r="A4501" s="4" t="s">
        <v>10520</v>
      </c>
      <c r="B4501" s="5" t="s">
        <v>10520</v>
      </c>
      <c r="C4501" s="5" t="s">
        <v>49</v>
      </c>
      <c r="D4501" s="5" t="s">
        <v>50</v>
      </c>
      <c r="E4501" s="5" t="s">
        <v>567</v>
      </c>
      <c r="F4501" s="9">
        <v>55</v>
      </c>
      <c r="G4501" s="9">
        <v>653</v>
      </c>
      <c r="H4501" s="5" t="s">
        <v>20</v>
      </c>
      <c r="I4501" s="5" t="s">
        <v>10521</v>
      </c>
      <c r="J4501" s="12" t="str">
        <f>HYPERLINK("https://www.boe.es/gazeta/dias/1807/06/30/pdfs/GMD-1807-55.pdf#page=3","Abrir facsímil")</f>
        <v>Abrir facsímil</v>
      </c>
      <c r="K4501" s="15" t="s">
        <v>22</v>
      </c>
    </row>
    <row r="4502" spans="1:11" ht="42" customHeight="1">
      <c r="A4502" s="4" t="s">
        <v>10522</v>
      </c>
      <c r="B4502" s="5" t="s">
        <v>10522</v>
      </c>
      <c r="C4502" s="5" t="s">
        <v>49</v>
      </c>
      <c r="D4502" s="5" t="s">
        <v>50</v>
      </c>
      <c r="E4502" s="5" t="s">
        <v>309</v>
      </c>
      <c r="F4502" s="9">
        <v>107</v>
      </c>
      <c r="G4502" s="9">
        <v>1243</v>
      </c>
      <c r="H4502" s="5" t="s">
        <v>20</v>
      </c>
      <c r="I4502" s="5" t="s">
        <v>10523</v>
      </c>
      <c r="J4502" s="12" t="str">
        <f>HYPERLINK("https://www.boe.es/gazeta/dias/1807/12/01/pdfs/GMD-1807-107.pdf#page=3","Abrir facsímil")</f>
        <v>Abrir facsímil</v>
      </c>
      <c r="K4502" s="15" t="s">
        <v>22</v>
      </c>
    </row>
    <row r="4503" spans="1:11" ht="42" customHeight="1">
      <c r="A4503" s="4" t="s">
        <v>10524</v>
      </c>
      <c r="B4503" s="5" t="s">
        <v>10524</v>
      </c>
      <c r="C4503" s="5" t="s">
        <v>34</v>
      </c>
      <c r="D4503" s="5" t="s">
        <v>35</v>
      </c>
      <c r="E4503" s="5" t="s">
        <v>245</v>
      </c>
      <c r="F4503" s="9">
        <v>97</v>
      </c>
      <c r="G4503" s="9">
        <v>1123</v>
      </c>
      <c r="H4503" s="5" t="s">
        <v>20</v>
      </c>
      <c r="I4503" s="5" t="s">
        <v>10525</v>
      </c>
      <c r="J4503" s="12" t="str">
        <f>HYPERLINK("https://www.boe.es/gazeta/dias/1807/10/30/pdfs/GMD-1807-97.pdf#page=3","Abrir facsímil")</f>
        <v>Abrir facsímil</v>
      </c>
      <c r="K4503" s="15" t="s">
        <v>22</v>
      </c>
    </row>
    <row r="4504" spans="1:11" ht="42" customHeight="1">
      <c r="A4504" s="4" t="s">
        <v>10526</v>
      </c>
      <c r="B4504" s="5" t="s">
        <v>10526</v>
      </c>
      <c r="C4504" s="5" t="s">
        <v>49</v>
      </c>
      <c r="D4504" s="5" t="s">
        <v>50</v>
      </c>
      <c r="E4504" s="5" t="s">
        <v>221</v>
      </c>
      <c r="F4504" s="9">
        <v>73</v>
      </c>
      <c r="G4504" s="9">
        <v>840</v>
      </c>
      <c r="H4504" s="5" t="s">
        <v>20</v>
      </c>
      <c r="I4504" s="5" t="s">
        <v>10527</v>
      </c>
      <c r="J4504" s="12" t="str">
        <f>HYPERLINK("https://www.boe.es/gazeta/dias/1807/08/14/pdfs/GMD-1807-73.pdf#page=4","Abrir facsímil")</f>
        <v>Abrir facsímil</v>
      </c>
      <c r="K4504" s="15" t="s">
        <v>22</v>
      </c>
    </row>
    <row r="4505" spans="1:11" ht="42" customHeight="1">
      <c r="A4505" s="4" t="s">
        <v>10528</v>
      </c>
      <c r="B4505" s="5" t="s">
        <v>10528</v>
      </c>
      <c r="C4505" s="5" t="s">
        <v>49</v>
      </c>
      <c r="D4505" s="5" t="s">
        <v>50</v>
      </c>
      <c r="E4505" s="5" t="s">
        <v>530</v>
      </c>
      <c r="F4505" s="9">
        <v>79</v>
      </c>
      <c r="G4505" s="9">
        <v>914</v>
      </c>
      <c r="H4505" s="5" t="s">
        <v>20</v>
      </c>
      <c r="I4505" s="5" t="s">
        <v>10529</v>
      </c>
      <c r="J4505" s="12" t="str">
        <f>HYPERLINK("https://www.boe.es/gazeta/dias/1807/09/04/pdfs/GMD-1807-79.pdf#page=6","Abrir facsímil")</f>
        <v>Abrir facsímil</v>
      </c>
      <c r="K4505" s="15" t="s">
        <v>22</v>
      </c>
    </row>
    <row r="4506" spans="1:11" ht="42" customHeight="1">
      <c r="A4506" s="4" t="s">
        <v>10528</v>
      </c>
      <c r="B4506" s="5" t="s">
        <v>10528</v>
      </c>
      <c r="C4506" s="5" t="s">
        <v>49</v>
      </c>
      <c r="D4506" s="5" t="s">
        <v>50</v>
      </c>
      <c r="E4506" s="5" t="s">
        <v>135</v>
      </c>
      <c r="F4506" s="9">
        <v>80</v>
      </c>
      <c r="G4506" s="9">
        <v>930</v>
      </c>
      <c r="H4506" s="5" t="s">
        <v>20</v>
      </c>
      <c r="I4506" s="5" t="s">
        <v>10530</v>
      </c>
      <c r="J4506" s="12" t="str">
        <f>HYPERLINK("https://www.boe.es/gazeta/dias/1807/09/08/pdfs/GMD-1807-80.pdf#page=6","Abrir facsímil")</f>
        <v>Abrir facsímil</v>
      </c>
      <c r="K4506" s="15" t="s">
        <v>22</v>
      </c>
    </row>
    <row r="4507" spans="1:11" ht="42" customHeight="1">
      <c r="A4507" s="4" t="s">
        <v>10528</v>
      </c>
      <c r="B4507" s="5" t="s">
        <v>10528</v>
      </c>
      <c r="C4507" s="5" t="s">
        <v>49</v>
      </c>
      <c r="D4507" s="5" t="s">
        <v>50</v>
      </c>
      <c r="E4507" s="5" t="s">
        <v>135</v>
      </c>
      <c r="F4507" s="9">
        <v>80</v>
      </c>
      <c r="G4507" s="9">
        <v>931</v>
      </c>
      <c r="H4507" s="5" t="s">
        <v>20</v>
      </c>
      <c r="I4507" s="5" t="s">
        <v>10531</v>
      </c>
      <c r="J4507" s="12" t="str">
        <f>HYPERLINK("https://www.boe.es/gazeta/dias/1807/09/08/pdfs/GMD-1807-80.pdf#page=7","Abrir facsímil")</f>
        <v>Abrir facsímil</v>
      </c>
      <c r="K4507" s="15" t="s">
        <v>22</v>
      </c>
    </row>
    <row r="4508" spans="1:11" ht="42" customHeight="1">
      <c r="A4508" s="4" t="s">
        <v>10532</v>
      </c>
      <c r="B4508" s="5" t="s">
        <v>10532</v>
      </c>
      <c r="C4508" s="5" t="s">
        <v>34</v>
      </c>
      <c r="D4508" s="5" t="s">
        <v>35</v>
      </c>
      <c r="E4508" s="5" t="s">
        <v>221</v>
      </c>
      <c r="F4508" s="9">
        <v>73</v>
      </c>
      <c r="G4508" s="9">
        <v>839</v>
      </c>
      <c r="H4508" s="5" t="s">
        <v>20</v>
      </c>
      <c r="I4508" s="5" t="s">
        <v>10533</v>
      </c>
      <c r="J4508" s="12" t="str">
        <f>HYPERLINK("https://www.boe.es/gazeta/dias/1807/08/14/pdfs/GMD-1807-73.pdf#page=3","Abrir facsímil")</f>
        <v>Abrir facsímil</v>
      </c>
      <c r="K4508" s="15" t="s">
        <v>22</v>
      </c>
    </row>
    <row r="4509" spans="1:11" ht="42" customHeight="1">
      <c r="A4509" s="4" t="s">
        <v>10534</v>
      </c>
      <c r="B4509" s="5" t="s">
        <v>10534</v>
      </c>
      <c r="C4509" s="5" t="s">
        <v>17</v>
      </c>
      <c r="D4509" s="5" t="s">
        <v>18</v>
      </c>
      <c r="E4509" s="5" t="s">
        <v>561</v>
      </c>
      <c r="F4509" s="9">
        <v>44</v>
      </c>
      <c r="G4509" s="9">
        <v>524</v>
      </c>
      <c r="H4509" s="5" t="s">
        <v>20</v>
      </c>
      <c r="I4509" s="5" t="s">
        <v>10535</v>
      </c>
      <c r="J4509" s="12" t="str">
        <f>HYPERLINK("https://www.boe.es/gazeta/dias/1807/05/22/pdfs/GMD-1807-44.pdf#page=6","Abrir facsímil")</f>
        <v>Abrir facsímil</v>
      </c>
      <c r="K4509" s="15" t="s">
        <v>22</v>
      </c>
    </row>
    <row r="4510" spans="1:11" ht="42" customHeight="1">
      <c r="A4510" s="4" t="s">
        <v>10536</v>
      </c>
      <c r="B4510" s="5" t="s">
        <v>10537</v>
      </c>
      <c r="C4510" s="5" t="s">
        <v>34</v>
      </c>
      <c r="D4510" s="5" t="s">
        <v>35</v>
      </c>
      <c r="E4510" s="5" t="s">
        <v>361</v>
      </c>
      <c r="F4510" s="9">
        <v>113</v>
      </c>
      <c r="G4510" s="9">
        <v>1322</v>
      </c>
      <c r="H4510" s="5" t="s">
        <v>20</v>
      </c>
      <c r="I4510" s="5" t="s">
        <v>10538</v>
      </c>
      <c r="J4510" s="12" t="str">
        <f>HYPERLINK("https://www.boe.es/gazeta/dias/1807/12/22/pdfs/GMD-1807-113.pdf#page=10","Abrir facsímil")</f>
        <v>Abrir facsímil</v>
      </c>
      <c r="K4510" s="15" t="s">
        <v>22</v>
      </c>
    </row>
    <row r="4511" spans="1:11" ht="42" customHeight="1">
      <c r="A4511" s="4" t="s">
        <v>10539</v>
      </c>
      <c r="B4511" s="5" t="s">
        <v>10540</v>
      </c>
      <c r="C4511" s="5" t="s">
        <v>49</v>
      </c>
      <c r="D4511" s="5" t="s">
        <v>50</v>
      </c>
      <c r="E4511" s="5" t="s">
        <v>530</v>
      </c>
      <c r="F4511" s="9">
        <v>79</v>
      </c>
      <c r="G4511" s="9">
        <v>915</v>
      </c>
      <c r="H4511" s="5" t="s">
        <v>20</v>
      </c>
      <c r="I4511" s="5" t="s">
        <v>10541</v>
      </c>
      <c r="J4511" s="12" t="str">
        <f>HYPERLINK("https://www.boe.es/gazeta/dias/1807/09/04/pdfs/GMD-1807-79.pdf#page=7","Abrir facsímil")</f>
        <v>Abrir facsímil</v>
      </c>
      <c r="K4511" s="15" t="s">
        <v>22</v>
      </c>
    </row>
    <row r="4512" spans="1:11" ht="42" customHeight="1">
      <c r="A4512" s="4" t="s">
        <v>10542</v>
      </c>
      <c r="B4512" s="5" t="s">
        <v>10542</v>
      </c>
      <c r="C4512" s="5" t="s">
        <v>49</v>
      </c>
      <c r="D4512" s="5" t="s">
        <v>50</v>
      </c>
      <c r="E4512" s="5" t="s">
        <v>79</v>
      </c>
      <c r="F4512" s="9">
        <v>11</v>
      </c>
      <c r="G4512" s="9">
        <v>120</v>
      </c>
      <c r="H4512" s="5" t="s">
        <v>20</v>
      </c>
      <c r="I4512" s="5" t="s">
        <v>10543</v>
      </c>
      <c r="J4512" s="12" t="str">
        <f>HYPERLINK("https://www.boe.es/gazeta/dias/1807/01/30/pdfs/GMD-1807-11.pdf#page=4","Abrir facsímil")</f>
        <v>Abrir facsímil</v>
      </c>
      <c r="K4512" s="15" t="s">
        <v>22</v>
      </c>
    </row>
    <row r="4513" spans="1:11" ht="42" customHeight="1">
      <c r="A4513" s="4" t="s">
        <v>10542</v>
      </c>
      <c r="B4513" s="5" t="s">
        <v>10542</v>
      </c>
      <c r="C4513" s="5" t="s">
        <v>49</v>
      </c>
      <c r="D4513" s="5" t="s">
        <v>50</v>
      </c>
      <c r="E4513" s="5" t="s">
        <v>53</v>
      </c>
      <c r="F4513" s="9">
        <v>64</v>
      </c>
      <c r="G4513" s="9">
        <v>742</v>
      </c>
      <c r="H4513" s="5" t="s">
        <v>20</v>
      </c>
      <c r="I4513" s="5" t="s">
        <v>10544</v>
      </c>
      <c r="J4513" s="12" t="str">
        <f>HYPERLINK("https://www.boe.es/gazeta/dias/1807/07/21/pdfs/GMD-1807-64.pdf#page=4","Abrir facsímil")</f>
        <v>Abrir facsímil</v>
      </c>
      <c r="K4513" s="15" t="s">
        <v>22</v>
      </c>
    </row>
    <row r="4514" spans="1:11" ht="42" customHeight="1">
      <c r="A4514" s="4" t="s">
        <v>10545</v>
      </c>
      <c r="B4514" s="5" t="s">
        <v>10545</v>
      </c>
      <c r="C4514" s="5" t="s">
        <v>49</v>
      </c>
      <c r="D4514" s="5" t="s">
        <v>50</v>
      </c>
      <c r="E4514" s="5" t="s">
        <v>505</v>
      </c>
      <c r="F4514" s="9">
        <v>47</v>
      </c>
      <c r="G4514" s="9">
        <v>557</v>
      </c>
      <c r="H4514" s="5" t="s">
        <v>20</v>
      </c>
      <c r="I4514" s="5" t="s">
        <v>10546</v>
      </c>
      <c r="J4514" s="12" t="str">
        <f>HYPERLINK("https://www.boe.es/gazeta/dias/1807/06/02/pdfs/GMD-1807-47.pdf#page=3","Abrir facsímil")</f>
        <v>Abrir facsímil</v>
      </c>
      <c r="K4514" s="15" t="s">
        <v>22</v>
      </c>
    </row>
    <row r="4515" spans="1:11" ht="42" customHeight="1">
      <c r="A4515" s="4" t="s">
        <v>10545</v>
      </c>
      <c r="B4515" s="5" t="s">
        <v>10545</v>
      </c>
      <c r="C4515" s="5" t="s">
        <v>49</v>
      </c>
      <c r="D4515" s="5" t="s">
        <v>50</v>
      </c>
      <c r="E4515" s="5" t="s">
        <v>319</v>
      </c>
      <c r="F4515" s="9">
        <v>54</v>
      </c>
      <c r="G4515" s="9">
        <v>641</v>
      </c>
      <c r="H4515" s="5" t="s">
        <v>20</v>
      </c>
      <c r="I4515" s="5" t="s">
        <v>10547</v>
      </c>
      <c r="J4515" s="12" t="str">
        <f>HYPERLINK("https://www.boe.es/gazeta/dias/1807/06/26/pdfs/GMD-1807-54.pdf#page=3","Abrir facsímil")</f>
        <v>Abrir facsímil</v>
      </c>
      <c r="K4515" s="15" t="s">
        <v>22</v>
      </c>
    </row>
    <row r="4516" spans="1:11" ht="42" customHeight="1">
      <c r="A4516" s="4" t="s">
        <v>10545</v>
      </c>
      <c r="B4516" s="5" t="s">
        <v>10545</v>
      </c>
      <c r="C4516" s="5" t="s">
        <v>49</v>
      </c>
      <c r="D4516" s="5" t="s">
        <v>50</v>
      </c>
      <c r="E4516" s="5" t="s">
        <v>109</v>
      </c>
      <c r="F4516" s="9">
        <v>58</v>
      </c>
      <c r="G4516" s="9">
        <v>686</v>
      </c>
      <c r="H4516" s="5" t="s">
        <v>20</v>
      </c>
      <c r="I4516" s="5" t="s">
        <v>10548</v>
      </c>
      <c r="J4516" s="12" t="str">
        <f>HYPERLINK("https://www.boe.es/gazeta/dias/1807/07/07/pdfs/GMD-1807-58.pdf#page=4","Abrir facsímil")</f>
        <v>Abrir facsímil</v>
      </c>
      <c r="K4516" s="15" t="s">
        <v>22</v>
      </c>
    </row>
    <row r="4517" spans="1:11" ht="42" customHeight="1">
      <c r="A4517" s="4" t="s">
        <v>10545</v>
      </c>
      <c r="B4517" s="5" t="s">
        <v>10545</v>
      </c>
      <c r="C4517" s="5" t="s">
        <v>28</v>
      </c>
      <c r="D4517" s="5" t="s">
        <v>29</v>
      </c>
      <c r="E4517" s="5" t="s">
        <v>327</v>
      </c>
      <c r="F4517" s="9">
        <v>108</v>
      </c>
      <c r="G4517" s="9">
        <v>1260</v>
      </c>
      <c r="H4517" s="5" t="s">
        <v>20</v>
      </c>
      <c r="I4517" s="5" t="s">
        <v>10549</v>
      </c>
      <c r="J4517" s="12" t="str">
        <f>HYPERLINK("https://www.boe.es/gazeta/dias/1807/12/04/pdfs/GMD-1807-108.pdf#page=8","Abrir facsímil")</f>
        <v>Abrir facsímil</v>
      </c>
      <c r="K4517" s="15" t="s">
        <v>22</v>
      </c>
    </row>
    <row r="4518" spans="1:11" ht="42" customHeight="1">
      <c r="A4518" s="4" t="s">
        <v>10545</v>
      </c>
      <c r="B4518" s="5" t="s">
        <v>10545</v>
      </c>
      <c r="C4518" s="5" t="s">
        <v>49</v>
      </c>
      <c r="D4518" s="5" t="s">
        <v>50</v>
      </c>
      <c r="E4518" s="5" t="s">
        <v>350</v>
      </c>
      <c r="F4518" s="9">
        <v>112</v>
      </c>
      <c r="G4518" s="9">
        <v>1304</v>
      </c>
      <c r="H4518" s="5" t="s">
        <v>20</v>
      </c>
      <c r="I4518" s="5" t="s">
        <v>10550</v>
      </c>
      <c r="J4518" s="12" t="str">
        <f>HYPERLINK("https://www.boe.es/gazeta/dias/1807/12/18/pdfs/GMD-1807-112.pdf#page=4","Abrir facsímil")</f>
        <v>Abrir facsímil</v>
      </c>
      <c r="K4518" s="15" t="s">
        <v>22</v>
      </c>
    </row>
    <row r="4519" spans="1:11" ht="42" customHeight="1">
      <c r="A4519" s="4" t="s">
        <v>10545</v>
      </c>
      <c r="B4519" s="5" t="s">
        <v>10545</v>
      </c>
      <c r="C4519" s="5" t="s">
        <v>49</v>
      </c>
      <c r="D4519" s="5" t="s">
        <v>50</v>
      </c>
      <c r="E4519" s="5" t="s">
        <v>361</v>
      </c>
      <c r="F4519" s="9">
        <v>113</v>
      </c>
      <c r="G4519" s="9">
        <v>1317</v>
      </c>
      <c r="H4519" s="5" t="s">
        <v>20</v>
      </c>
      <c r="I4519" s="5" t="s">
        <v>10551</v>
      </c>
      <c r="J4519" s="12" t="str">
        <f>HYPERLINK("https://www.boe.es/gazeta/dias/1807/12/22/pdfs/GMD-1807-113.pdf#page=5","Abrir facsímil")</f>
        <v>Abrir facsímil</v>
      </c>
      <c r="K4519" s="15" t="s">
        <v>22</v>
      </c>
    </row>
    <row r="4520" spans="1:11" ht="42" customHeight="1">
      <c r="A4520" s="4" t="s">
        <v>10552</v>
      </c>
      <c r="B4520" s="5" t="s">
        <v>10552</v>
      </c>
      <c r="C4520" s="5" t="s">
        <v>28</v>
      </c>
      <c r="D4520" s="5" t="s">
        <v>29</v>
      </c>
      <c r="E4520" s="5" t="s">
        <v>3230</v>
      </c>
      <c r="F4520" s="9">
        <v>27</v>
      </c>
      <c r="G4520" s="9">
        <v>322</v>
      </c>
      <c r="H4520" s="5" t="s">
        <v>20</v>
      </c>
      <c r="I4520" s="5" t="s">
        <v>10553</v>
      </c>
      <c r="J4520" s="12" t="str">
        <f>HYPERLINK("https://www.boe.es/gazeta/dias/1807/03/24/pdfs/GMD-1807-27.pdf#page=6","Abrir facsímil")</f>
        <v>Abrir facsímil</v>
      </c>
      <c r="K4520" s="15" t="s">
        <v>22</v>
      </c>
    </row>
    <row r="4521" spans="1:11" ht="42" customHeight="1">
      <c r="A4521" s="4" t="s">
        <v>10554</v>
      </c>
      <c r="B4521" s="5" t="s">
        <v>10554</v>
      </c>
      <c r="C4521" s="5" t="s">
        <v>49</v>
      </c>
      <c r="D4521" s="5" t="s">
        <v>50</v>
      </c>
      <c r="E4521" s="5" t="s">
        <v>507</v>
      </c>
      <c r="F4521" s="9">
        <v>48</v>
      </c>
      <c r="G4521" s="9">
        <v>566</v>
      </c>
      <c r="H4521" s="5" t="s">
        <v>20</v>
      </c>
      <c r="I4521" s="5" t="s">
        <v>10555</v>
      </c>
      <c r="J4521" s="12" t="str">
        <f>HYPERLINK("https://www.boe.es/gazeta/dias/1807/06/05/pdfs/GMD-1807-48.pdf#page=4","Abrir facsímil")</f>
        <v>Abrir facsímil</v>
      </c>
      <c r="K4521" s="15" t="s">
        <v>22</v>
      </c>
    </row>
    <row r="4522" spans="1:11" ht="42" customHeight="1">
      <c r="A4522" s="4" t="s">
        <v>10556</v>
      </c>
      <c r="B4522" s="5" t="s">
        <v>10557</v>
      </c>
      <c r="C4522" s="5" t="s">
        <v>69</v>
      </c>
      <c r="D4522" s="5" t="s">
        <v>70</v>
      </c>
      <c r="E4522" s="5" t="s">
        <v>71</v>
      </c>
      <c r="F4522" s="9">
        <v>35</v>
      </c>
      <c r="G4522" s="9" t="s">
        <v>197</v>
      </c>
      <c r="H4522" s="5" t="s">
        <v>20</v>
      </c>
      <c r="I4522" s="5" t="s">
        <v>10558</v>
      </c>
      <c r="J4522" s="12" t="str">
        <f>HYPERLINK("https://www.boe.es/gazeta/dias/1807/04/21/pdfs/C00001-00004.pdf#page=3","Abrir facsímil")</f>
        <v>Abrir facsímil</v>
      </c>
      <c r="K4522" s="15" t="s">
        <v>22</v>
      </c>
    </row>
    <row r="4523" spans="1:11" ht="42" customHeight="1">
      <c r="A4523" s="4" t="s">
        <v>10559</v>
      </c>
      <c r="B4523" s="5" t="s">
        <v>10559</v>
      </c>
      <c r="C4523" s="5" t="s">
        <v>49</v>
      </c>
      <c r="D4523" s="5" t="s">
        <v>50</v>
      </c>
      <c r="E4523" s="5" t="s">
        <v>346</v>
      </c>
      <c r="F4523" s="9">
        <v>21</v>
      </c>
      <c r="G4523" s="9">
        <v>243</v>
      </c>
      <c r="H4523" s="5" t="s">
        <v>20</v>
      </c>
      <c r="I4523" s="5" t="s">
        <v>10560</v>
      </c>
      <c r="J4523" s="12" t="str">
        <f>HYPERLINK("https://www.boe.es/gazeta/dias/1807/03/03/pdfs/GMD-1807-21.pdf#page=7","Abrir facsímil")</f>
        <v>Abrir facsímil</v>
      </c>
      <c r="K4523" s="15" t="s">
        <v>22</v>
      </c>
    </row>
    <row r="4524" spans="1:11" ht="42" customHeight="1">
      <c r="A4524" s="4" t="s">
        <v>10561</v>
      </c>
      <c r="B4524" s="5" t="s">
        <v>10561</v>
      </c>
      <c r="C4524" s="5" t="s">
        <v>28</v>
      </c>
      <c r="D4524" s="5" t="s">
        <v>29</v>
      </c>
      <c r="E4524" s="5" t="s">
        <v>245</v>
      </c>
      <c r="F4524" s="9">
        <v>97</v>
      </c>
      <c r="G4524" s="9">
        <v>1126</v>
      </c>
      <c r="H4524" s="5" t="s">
        <v>20</v>
      </c>
      <c r="I4524" s="5" t="s">
        <v>10562</v>
      </c>
      <c r="J4524" s="12" t="str">
        <f>HYPERLINK("https://www.boe.es/gazeta/dias/1807/10/30/pdfs/GMD-1807-97.pdf#page=6","Abrir facsímil")</f>
        <v>Abrir facsímil</v>
      </c>
      <c r="K4524" s="15" t="s">
        <v>22</v>
      </c>
    </row>
    <row r="4525" spans="1:11" ht="42" customHeight="1">
      <c r="A4525" s="4" t="s">
        <v>10563</v>
      </c>
      <c r="B4525" s="5" t="s">
        <v>10563</v>
      </c>
      <c r="C4525" s="5" t="s">
        <v>24</v>
      </c>
      <c r="D4525" s="5" t="s">
        <v>18</v>
      </c>
      <c r="E4525" s="5" t="s">
        <v>471</v>
      </c>
      <c r="F4525" s="9">
        <v>51</v>
      </c>
      <c r="G4525" s="9">
        <v>607</v>
      </c>
      <c r="H4525" s="5" t="s">
        <v>20</v>
      </c>
      <c r="I4525" s="5" t="s">
        <v>10564</v>
      </c>
      <c r="J4525" s="12" t="str">
        <f>HYPERLINK("https://www.boe.es/gazeta/dias/1807/06/16/pdfs/GMD-1807-51.pdf#page=9","Abrir facsímil")</f>
        <v>Abrir facsímil</v>
      </c>
      <c r="K4525" s="15" t="s">
        <v>22</v>
      </c>
    </row>
    <row r="4526" spans="1:11" ht="42" customHeight="1">
      <c r="A4526" s="4" t="s">
        <v>10565</v>
      </c>
      <c r="B4526" s="5" t="s">
        <v>10566</v>
      </c>
      <c r="C4526" s="5" t="s">
        <v>49</v>
      </c>
      <c r="D4526" s="5" t="s">
        <v>50</v>
      </c>
      <c r="E4526" s="5" t="s">
        <v>111</v>
      </c>
      <c r="F4526" s="9">
        <v>90</v>
      </c>
      <c r="G4526" s="9">
        <v>1036</v>
      </c>
      <c r="H4526" s="5" t="s">
        <v>20</v>
      </c>
      <c r="I4526" s="5" t="s">
        <v>10567</v>
      </c>
      <c r="J4526" s="12" t="str">
        <f>HYPERLINK("https://www.boe.es/gazeta/dias/1807/10/06/pdfs/GMD-1807-90.pdf#page=4","Abrir facsímil")</f>
        <v>Abrir facsímil</v>
      </c>
      <c r="K4526" s="15" t="s">
        <v>22</v>
      </c>
    </row>
    <row r="4527" spans="1:11" ht="42" customHeight="1">
      <c r="A4527" s="4" t="s">
        <v>10568</v>
      </c>
      <c r="B4527" s="5" t="s">
        <v>10568</v>
      </c>
      <c r="C4527" s="5" t="s">
        <v>34</v>
      </c>
      <c r="D4527" s="5" t="s">
        <v>35</v>
      </c>
      <c r="E4527" s="5" t="s">
        <v>441</v>
      </c>
      <c r="F4527" s="9">
        <v>92</v>
      </c>
      <c r="G4527" s="9">
        <v>1065</v>
      </c>
      <c r="H4527" s="5" t="s">
        <v>20</v>
      </c>
      <c r="I4527" s="5" t="s">
        <v>10569</v>
      </c>
      <c r="J4527" s="12" t="str">
        <f>HYPERLINK("https://www.boe.es/gazeta/dias/1807/10/13/pdfs/GMD-1807-92.pdf#page=5","Abrir facsímil")</f>
        <v>Abrir facsímil</v>
      </c>
      <c r="K4527" s="15" t="s">
        <v>22</v>
      </c>
    </row>
    <row r="4528" spans="1:11" ht="42" customHeight="1">
      <c r="A4528" s="4" t="s">
        <v>10570</v>
      </c>
      <c r="B4528" s="5" t="s">
        <v>10571</v>
      </c>
      <c r="C4528" s="5" t="s">
        <v>28</v>
      </c>
      <c r="D4528" s="5" t="s">
        <v>29</v>
      </c>
      <c r="E4528" s="5" t="s">
        <v>498</v>
      </c>
      <c r="F4528" s="9">
        <v>32</v>
      </c>
      <c r="G4528" s="9">
        <v>380</v>
      </c>
      <c r="H4528" s="5" t="s">
        <v>20</v>
      </c>
      <c r="I4528" s="5" t="s">
        <v>10572</v>
      </c>
      <c r="J4528" s="12" t="str">
        <f>HYPERLINK("https://www.boe.es/gazeta/dias/1807/04/10/pdfs/GMD-1807-32.pdf#page=8","Abrir facsímil")</f>
        <v>Abrir facsímil</v>
      </c>
      <c r="K4528" s="15" t="s">
        <v>22</v>
      </c>
    </row>
    <row r="4529" spans="1:11" ht="42" customHeight="1">
      <c r="A4529" s="4" t="s">
        <v>10573</v>
      </c>
      <c r="B4529" s="5" t="s">
        <v>10574</v>
      </c>
      <c r="C4529" s="5" t="s">
        <v>34</v>
      </c>
      <c r="D4529" s="5" t="s">
        <v>35</v>
      </c>
      <c r="E4529" s="5" t="s">
        <v>498</v>
      </c>
      <c r="F4529" s="9">
        <v>32</v>
      </c>
      <c r="G4529" s="9">
        <v>380</v>
      </c>
      <c r="H4529" s="5" t="s">
        <v>20</v>
      </c>
      <c r="I4529" s="5" t="s">
        <v>10575</v>
      </c>
      <c r="J4529" s="12" t="str">
        <f>HYPERLINK("https://www.boe.es/gazeta/dias/1807/04/10/pdfs/GMD-1807-32.pdf#page=8","Abrir facsímil")</f>
        <v>Abrir facsímil</v>
      </c>
      <c r="K4529" s="15" t="s">
        <v>22</v>
      </c>
    </row>
    <row r="4530" spans="1:11" ht="42" customHeight="1">
      <c r="A4530" s="4" t="s">
        <v>10576</v>
      </c>
      <c r="B4530" s="5" t="s">
        <v>10577</v>
      </c>
      <c r="C4530" s="5" t="s">
        <v>89</v>
      </c>
      <c r="D4530" s="5" t="s">
        <v>90</v>
      </c>
      <c r="E4530" s="5" t="s">
        <v>139</v>
      </c>
      <c r="F4530" s="9">
        <v>110</v>
      </c>
      <c r="G4530" s="9">
        <v>1288</v>
      </c>
      <c r="H4530" s="5" t="s">
        <v>20</v>
      </c>
      <c r="I4530" s="5" t="s">
        <v>10578</v>
      </c>
      <c r="J4530" s="12" t="str">
        <f>HYPERLINK("https://www.boe.es/gazeta/dias/1807/12/11/pdfs/GMD-1807-110.pdf#page=12","Abrir facsímil")</f>
        <v>Abrir facsímil</v>
      </c>
      <c r="K4530" s="15" t="s">
        <v>22</v>
      </c>
    </row>
    <row r="4531" spans="1:11" ht="42" customHeight="1">
      <c r="A4531" s="4" t="s">
        <v>10579</v>
      </c>
      <c r="B4531" s="5" t="s">
        <v>10579</v>
      </c>
      <c r="C4531" s="5" t="s">
        <v>89</v>
      </c>
      <c r="D4531" s="5" t="s">
        <v>90</v>
      </c>
      <c r="E4531" s="5" t="s">
        <v>221</v>
      </c>
      <c r="F4531" s="9">
        <v>73</v>
      </c>
      <c r="G4531" s="9">
        <v>841</v>
      </c>
      <c r="H4531" s="5" t="s">
        <v>20</v>
      </c>
      <c r="I4531" s="5" t="s">
        <v>10580</v>
      </c>
      <c r="J4531" s="12" t="str">
        <f>HYPERLINK("https://www.boe.es/gazeta/dias/1807/08/14/pdfs/GMD-1807-73.pdf#page=5","Abrir facsímil")</f>
        <v>Abrir facsímil</v>
      </c>
      <c r="K4531" s="15" t="s">
        <v>22</v>
      </c>
    </row>
    <row r="4532" spans="1:11" ht="42" customHeight="1">
      <c r="A4532" s="4" t="s">
        <v>10579</v>
      </c>
      <c r="B4532" s="5" t="s">
        <v>10579</v>
      </c>
      <c r="C4532" s="5" t="s">
        <v>49</v>
      </c>
      <c r="D4532" s="5" t="s">
        <v>50</v>
      </c>
      <c r="E4532" s="5" t="s">
        <v>321</v>
      </c>
      <c r="F4532" s="9">
        <v>75</v>
      </c>
      <c r="G4532" s="9">
        <v>861</v>
      </c>
      <c r="H4532" s="5" t="s">
        <v>20</v>
      </c>
      <c r="I4532" s="5" t="s">
        <v>10581</v>
      </c>
      <c r="J4532" s="12" t="str">
        <f>HYPERLINK("https://www.boe.es/gazeta/dias/1807/08/21/pdfs/GMD-1807-75.pdf#page=1","Abrir facsímil")</f>
        <v>Abrir facsímil</v>
      </c>
      <c r="K4532" s="15" t="s">
        <v>22</v>
      </c>
    </row>
    <row r="4533" spans="1:11" ht="42" customHeight="1">
      <c r="A4533" s="4" t="s">
        <v>10582</v>
      </c>
      <c r="B4533" s="5" t="s">
        <v>10583</v>
      </c>
      <c r="C4533" s="5" t="s">
        <v>89</v>
      </c>
      <c r="D4533" s="5" t="s">
        <v>90</v>
      </c>
      <c r="E4533" s="5" t="s">
        <v>471</v>
      </c>
      <c r="F4533" s="9">
        <v>51</v>
      </c>
      <c r="G4533" s="9">
        <v>610</v>
      </c>
      <c r="H4533" s="5" t="s">
        <v>20</v>
      </c>
      <c r="I4533" s="5" t="s">
        <v>10584</v>
      </c>
      <c r="J4533" s="12" t="str">
        <f>HYPERLINK("https://www.boe.es/gazeta/dias/1807/06/16/pdfs/GMD-1807-51.pdf#page=12","Abrir facsímil")</f>
        <v>Abrir facsímil</v>
      </c>
      <c r="K4533" s="15" t="s">
        <v>22</v>
      </c>
    </row>
    <row r="4534" spans="1:11" ht="42" customHeight="1">
      <c r="A4534" s="4" t="s">
        <v>10585</v>
      </c>
      <c r="B4534" s="5" t="s">
        <v>10585</v>
      </c>
      <c r="C4534" s="5" t="s">
        <v>49</v>
      </c>
      <c r="D4534" s="5" t="s">
        <v>50</v>
      </c>
      <c r="E4534" s="5" t="s">
        <v>321</v>
      </c>
      <c r="F4534" s="9">
        <v>75</v>
      </c>
      <c r="G4534" s="9">
        <v>861</v>
      </c>
      <c r="H4534" s="5" t="s">
        <v>20</v>
      </c>
      <c r="I4534" s="5" t="s">
        <v>10586</v>
      </c>
      <c r="J4534" s="12" t="str">
        <f>HYPERLINK("https://www.boe.es/gazeta/dias/1807/08/21/pdfs/GMD-1807-75.pdf#page=1","Abrir facsímil")</f>
        <v>Abrir facsímil</v>
      </c>
      <c r="K4534" s="15" t="s">
        <v>22</v>
      </c>
    </row>
    <row r="4535" spans="1:11" ht="42" customHeight="1">
      <c r="A4535" s="4" t="s">
        <v>10587</v>
      </c>
      <c r="B4535" s="5" t="s">
        <v>10587</v>
      </c>
      <c r="C4535" s="5" t="s">
        <v>28</v>
      </c>
      <c r="D4535" s="5" t="s">
        <v>29</v>
      </c>
      <c r="E4535" s="5" t="s">
        <v>156</v>
      </c>
      <c r="F4535" s="9">
        <v>74</v>
      </c>
      <c r="G4535" s="9">
        <v>852</v>
      </c>
      <c r="H4535" s="5" t="s">
        <v>20</v>
      </c>
      <c r="I4535" s="5" t="s">
        <v>10588</v>
      </c>
      <c r="J4535" s="12" t="str">
        <f>HYPERLINK("https://www.boe.es/gazeta/dias/1807/08/18/pdfs/GMD-1807-74.pdf#page=4","Abrir facsímil")</f>
        <v>Abrir facsímil</v>
      </c>
      <c r="K4535" s="15" t="s">
        <v>22</v>
      </c>
    </row>
    <row r="4536" spans="1:11" ht="42" customHeight="1">
      <c r="A4536" s="4" t="s">
        <v>10589</v>
      </c>
      <c r="B4536" s="5" t="s">
        <v>10590</v>
      </c>
      <c r="C4536" s="5" t="s">
        <v>89</v>
      </c>
      <c r="D4536" s="5" t="s">
        <v>90</v>
      </c>
      <c r="E4536" s="5" t="s">
        <v>426</v>
      </c>
      <c r="F4536" s="9">
        <v>93</v>
      </c>
      <c r="G4536" s="9">
        <v>1080</v>
      </c>
      <c r="H4536" s="5" t="s">
        <v>20</v>
      </c>
      <c r="I4536" s="5" t="s">
        <v>10591</v>
      </c>
      <c r="J4536" s="12" t="str">
        <f>HYPERLINK("https://www.boe.es/gazeta/dias/1807/10/16/pdfs/GMD-1807-93.pdf#page=8","Abrir facsímil")</f>
        <v>Abrir facsímil</v>
      </c>
      <c r="K4536" s="15" t="s">
        <v>22</v>
      </c>
    </row>
    <row r="4537" spans="1:11" ht="42" customHeight="1">
      <c r="A4537" s="4" t="s">
        <v>10592</v>
      </c>
      <c r="B4537" s="5" t="s">
        <v>10593</v>
      </c>
      <c r="C4537" s="5" t="s">
        <v>34</v>
      </c>
      <c r="D4537" s="5" t="s">
        <v>35</v>
      </c>
      <c r="E4537" s="5" t="s">
        <v>83</v>
      </c>
      <c r="F4537" s="9">
        <v>50</v>
      </c>
      <c r="G4537" s="9">
        <v>595</v>
      </c>
      <c r="H4537" s="5" t="s">
        <v>20</v>
      </c>
      <c r="I4537" s="5" t="s">
        <v>10594</v>
      </c>
      <c r="J4537" s="12" t="str">
        <f>HYPERLINK("https://www.boe.es/gazeta/dias/1807/06/12/pdfs/GMD-1807-50.pdf#page=9","Abrir facsímil")</f>
        <v>Abrir facsímil</v>
      </c>
      <c r="K4537" s="15" t="s">
        <v>22</v>
      </c>
    </row>
    <row r="4538" spans="1:11" ht="42" customHeight="1">
      <c r="A4538" s="4" t="s">
        <v>10595</v>
      </c>
      <c r="B4538" s="5" t="s">
        <v>10596</v>
      </c>
      <c r="C4538" s="5" t="s">
        <v>34</v>
      </c>
      <c r="D4538" s="5" t="s">
        <v>35</v>
      </c>
      <c r="E4538" s="5" t="s">
        <v>91</v>
      </c>
      <c r="F4538" s="9">
        <v>109</v>
      </c>
      <c r="G4538" s="9">
        <v>1272</v>
      </c>
      <c r="H4538" s="5" t="s">
        <v>20</v>
      </c>
      <c r="I4538" s="5" t="s">
        <v>10597</v>
      </c>
      <c r="J4538" s="12" t="str">
        <f>HYPERLINK("https://www.boe.es/gazeta/dias/1807/12/08/pdfs/GMD-1807-109.pdf#page=8","Abrir facsímil")</f>
        <v>Abrir facsímil</v>
      </c>
      <c r="K4538" s="15" t="s">
        <v>22</v>
      </c>
    </row>
    <row r="4539" spans="1:11" ht="42" customHeight="1">
      <c r="A4539" s="4" t="s">
        <v>10598</v>
      </c>
      <c r="B4539" s="5" t="s">
        <v>10599</v>
      </c>
      <c r="C4539" s="5" t="s">
        <v>34</v>
      </c>
      <c r="D4539" s="5" t="s">
        <v>35</v>
      </c>
      <c r="E4539" s="5" t="s">
        <v>208</v>
      </c>
      <c r="F4539" s="9">
        <v>42</v>
      </c>
      <c r="G4539" s="9">
        <v>502</v>
      </c>
      <c r="H4539" s="5" t="s">
        <v>20</v>
      </c>
      <c r="I4539" s="5" t="s">
        <v>10600</v>
      </c>
      <c r="J4539" s="12" t="str">
        <f>HYPERLINK("https://www.boe.es/gazeta/dias/1807/05/15/pdfs/GMD-1807-42.pdf#page=8","Abrir facsímil")</f>
        <v>Abrir facsímil</v>
      </c>
      <c r="K4539" s="15" t="s">
        <v>22</v>
      </c>
    </row>
    <row r="4540" spans="1:11" ht="42" customHeight="1">
      <c r="A4540" s="4" t="s">
        <v>10601</v>
      </c>
      <c r="B4540" s="5" t="s">
        <v>10602</v>
      </c>
      <c r="C4540" s="5" t="s">
        <v>17</v>
      </c>
      <c r="D4540" s="5" t="s">
        <v>18</v>
      </c>
      <c r="E4540" s="5" t="s">
        <v>426</v>
      </c>
      <c r="F4540" s="9">
        <v>93</v>
      </c>
      <c r="G4540" s="9">
        <v>1074</v>
      </c>
      <c r="H4540" s="5" t="s">
        <v>20</v>
      </c>
      <c r="I4540" s="5" t="s">
        <v>10603</v>
      </c>
      <c r="J4540" s="12" t="str">
        <f>HYPERLINK("https://www.boe.es/gazeta/dias/1807/10/16/pdfs/GMD-1807-93.pdf#page=2","Abrir facsímil")</f>
        <v>Abrir facsímil</v>
      </c>
      <c r="K4540" s="15" t="s">
        <v>22</v>
      </c>
    </row>
    <row r="4541" spans="1:11" ht="42" customHeight="1">
      <c r="A4541" s="4" t="s">
        <v>10604</v>
      </c>
      <c r="B4541" s="5" t="s">
        <v>10605</v>
      </c>
      <c r="C4541" s="5" t="s">
        <v>28</v>
      </c>
      <c r="D4541" s="5" t="s">
        <v>29</v>
      </c>
      <c r="E4541" s="5" t="s">
        <v>25</v>
      </c>
      <c r="F4541" s="9">
        <v>45</v>
      </c>
      <c r="G4541" s="9">
        <v>537</v>
      </c>
      <c r="H4541" s="5" t="s">
        <v>20</v>
      </c>
      <c r="I4541" s="5" t="s">
        <v>10606</v>
      </c>
      <c r="J4541" s="12" t="str">
        <f>HYPERLINK("https://www.boe.es/gazeta/dias/1807/05/26/pdfs/GMD-1807-45.pdf#page=7","Abrir facsímil")</f>
        <v>Abrir facsímil</v>
      </c>
      <c r="K4541" s="15" t="s">
        <v>22</v>
      </c>
    </row>
    <row r="4542" spans="1:11" ht="42" customHeight="1">
      <c r="A4542" s="4" t="s">
        <v>10607</v>
      </c>
      <c r="B4542" s="5" t="s">
        <v>10608</v>
      </c>
      <c r="C4542" s="5" t="s">
        <v>17</v>
      </c>
      <c r="D4542" s="5" t="s">
        <v>18</v>
      </c>
      <c r="E4542" s="5" t="s">
        <v>441</v>
      </c>
      <c r="F4542" s="9">
        <v>92</v>
      </c>
      <c r="G4542" s="9">
        <v>1068</v>
      </c>
      <c r="H4542" s="5" t="s">
        <v>20</v>
      </c>
      <c r="I4542" s="5" t="s">
        <v>10609</v>
      </c>
      <c r="J4542" s="12" t="str">
        <f>HYPERLINK("https://www.boe.es/gazeta/dias/1807/10/13/pdfs/GMD-1807-92.pdf#page=8","Abrir facsímil")</f>
        <v>Abrir facsímil</v>
      </c>
      <c r="K4542" s="15" t="s">
        <v>22</v>
      </c>
    </row>
    <row r="4543" spans="1:11" ht="42" customHeight="1">
      <c r="A4543" s="4" t="s">
        <v>10610</v>
      </c>
      <c r="B4543" s="5" t="s">
        <v>10611</v>
      </c>
      <c r="C4543" s="5" t="s">
        <v>49</v>
      </c>
      <c r="D4543" s="5" t="s">
        <v>50</v>
      </c>
      <c r="E4543" s="5" t="s">
        <v>1934</v>
      </c>
      <c r="F4543" s="9">
        <v>2</v>
      </c>
      <c r="G4543" s="9">
        <v>13</v>
      </c>
      <c r="H4543" s="5" t="s">
        <v>20</v>
      </c>
      <c r="I4543" s="5" t="s">
        <v>10612</v>
      </c>
      <c r="J4543" s="12" t="str">
        <f>HYPERLINK("https://www.boe.es/gazeta/dias/1807/01/06/pdfs/GMD-1807-2.pdf#page=1","Abrir facsímil")</f>
        <v>Abrir facsímil</v>
      </c>
      <c r="K4543" s="15" t="s">
        <v>22</v>
      </c>
    </row>
    <row r="4544" spans="1:11" ht="42" customHeight="1">
      <c r="A4544" s="4" t="s">
        <v>10613</v>
      </c>
      <c r="B4544" s="5" t="s">
        <v>10614</v>
      </c>
      <c r="C4544" s="5" t="s">
        <v>34</v>
      </c>
      <c r="D4544" s="5" t="s">
        <v>35</v>
      </c>
      <c r="E4544" s="5" t="s">
        <v>131</v>
      </c>
      <c r="F4544" s="9">
        <v>28</v>
      </c>
      <c r="G4544" s="9">
        <v>335</v>
      </c>
      <c r="H4544" s="5" t="s">
        <v>20</v>
      </c>
      <c r="I4544" s="5" t="s">
        <v>10615</v>
      </c>
      <c r="J4544" s="12" t="str">
        <f>HYPERLINK("https://www.boe.es/gazeta/dias/1807/03/27/pdfs/GMD-1807-28.pdf#page=7","Abrir facsímil")</f>
        <v>Abrir facsímil</v>
      </c>
      <c r="K4544" s="15" t="s">
        <v>22</v>
      </c>
    </row>
    <row r="4545" spans="1:11" ht="42" customHeight="1">
      <c r="A4545" s="4" t="s">
        <v>10616</v>
      </c>
      <c r="B4545" s="5" t="s">
        <v>10617</v>
      </c>
      <c r="C4545" s="5" t="s">
        <v>28</v>
      </c>
      <c r="D4545" s="5" t="s">
        <v>29</v>
      </c>
      <c r="E4545" s="5" t="s">
        <v>319</v>
      </c>
      <c r="F4545" s="9">
        <v>54</v>
      </c>
      <c r="G4545" s="9">
        <v>646</v>
      </c>
      <c r="H4545" s="5" t="s">
        <v>20</v>
      </c>
      <c r="I4545" s="5" t="s">
        <v>10618</v>
      </c>
      <c r="J4545" s="12" t="str">
        <f>HYPERLINK("https://www.boe.es/gazeta/dias/1807/06/26/pdfs/GMD-1807-54.pdf#page=8","Abrir facsímil")</f>
        <v>Abrir facsímil</v>
      </c>
      <c r="K4545" s="15" t="s">
        <v>22</v>
      </c>
    </row>
    <row r="4546" spans="1:11" ht="42" customHeight="1">
      <c r="A4546" s="4" t="s">
        <v>10619</v>
      </c>
      <c r="B4546" s="5" t="s">
        <v>10620</v>
      </c>
      <c r="C4546" s="5" t="s">
        <v>17</v>
      </c>
      <c r="D4546" s="5" t="s">
        <v>18</v>
      </c>
      <c r="E4546" s="5" t="s">
        <v>441</v>
      </c>
      <c r="F4546" s="9">
        <v>92</v>
      </c>
      <c r="G4546" s="9">
        <v>1068</v>
      </c>
      <c r="H4546" s="5" t="s">
        <v>20</v>
      </c>
      <c r="I4546" s="5" t="s">
        <v>10621</v>
      </c>
      <c r="J4546" s="12" t="str">
        <f>HYPERLINK("https://www.boe.es/gazeta/dias/1807/10/13/pdfs/GMD-1807-92.pdf#page=8","Abrir facsímil")</f>
        <v>Abrir facsímil</v>
      </c>
      <c r="K4546" s="15" t="s">
        <v>22</v>
      </c>
    </row>
    <row r="4547" spans="1:11" ht="42" customHeight="1">
      <c r="A4547" s="4" t="s">
        <v>10622</v>
      </c>
      <c r="B4547" s="5" t="s">
        <v>10623</v>
      </c>
      <c r="C4547" s="5" t="s">
        <v>34</v>
      </c>
      <c r="D4547" s="5" t="s">
        <v>35</v>
      </c>
      <c r="E4547" s="5" t="s">
        <v>94</v>
      </c>
      <c r="F4547" s="9">
        <v>22</v>
      </c>
      <c r="G4547" s="9">
        <v>255</v>
      </c>
      <c r="H4547" s="5" t="s">
        <v>20</v>
      </c>
      <c r="I4547" s="5" t="s">
        <v>10624</v>
      </c>
      <c r="J4547" s="12" t="str">
        <f>HYPERLINK("https://www.boe.es/gazeta/dias/1807/03/06/pdfs/GMD-1807-22.pdf#page=7","Abrir facsímil")</f>
        <v>Abrir facsímil</v>
      </c>
      <c r="K4547" s="15" t="s">
        <v>22</v>
      </c>
    </row>
    <row r="4548" spans="1:11" ht="42" customHeight="1">
      <c r="A4548" s="4" t="s">
        <v>10625</v>
      </c>
      <c r="B4548" s="5" t="s">
        <v>10626</v>
      </c>
      <c r="C4548" s="5" t="s">
        <v>49</v>
      </c>
      <c r="D4548" s="5" t="s">
        <v>50</v>
      </c>
      <c r="E4548" s="5" t="s">
        <v>79</v>
      </c>
      <c r="F4548" s="9">
        <v>11</v>
      </c>
      <c r="G4548" s="9">
        <v>117</v>
      </c>
      <c r="H4548" s="5" t="s">
        <v>20</v>
      </c>
      <c r="I4548" s="5" t="s">
        <v>10627</v>
      </c>
      <c r="J4548" s="12" t="str">
        <f>HYPERLINK("https://www.boe.es/gazeta/dias/1807/01/30/pdfs/GMD-1807-11.pdf#page=1","Abrir facsímil")</f>
        <v>Abrir facsímil</v>
      </c>
      <c r="K4548" s="15" t="s">
        <v>22</v>
      </c>
    </row>
    <row r="4549" spans="1:11" ht="42" customHeight="1">
      <c r="A4549" s="4" t="s">
        <v>10628</v>
      </c>
      <c r="B4549" s="5" t="s">
        <v>10629</v>
      </c>
      <c r="C4549" s="5" t="s">
        <v>34</v>
      </c>
      <c r="D4549" s="5" t="s">
        <v>35</v>
      </c>
      <c r="E4549" s="5" t="s">
        <v>215</v>
      </c>
      <c r="F4549" s="9">
        <v>5</v>
      </c>
      <c r="G4549" s="9">
        <v>51</v>
      </c>
      <c r="H4549" s="5" t="s">
        <v>20</v>
      </c>
      <c r="I4549" s="5" t="s">
        <v>10630</v>
      </c>
      <c r="J4549" s="12" t="str">
        <f>HYPERLINK("https://www.boe.es/gazeta/dias/1807/01/16/pdfs/GMD-1807-5.pdf#page=7","Abrir facsímil")</f>
        <v>Abrir facsímil</v>
      </c>
      <c r="K4549" s="15" t="s">
        <v>22</v>
      </c>
    </row>
    <row r="4550" spans="1:11" ht="42" customHeight="1">
      <c r="A4550" s="4" t="s">
        <v>10631</v>
      </c>
      <c r="B4550" s="5" t="s">
        <v>10632</v>
      </c>
      <c r="C4550" s="5" t="s">
        <v>34</v>
      </c>
      <c r="D4550" s="5" t="s">
        <v>35</v>
      </c>
      <c r="E4550" s="5" t="s">
        <v>40</v>
      </c>
      <c r="F4550" s="9">
        <v>26</v>
      </c>
      <c r="G4550" s="9">
        <v>312</v>
      </c>
      <c r="H4550" s="5" t="s">
        <v>20</v>
      </c>
      <c r="I4550" s="5" t="s">
        <v>10633</v>
      </c>
      <c r="J4550" s="12" t="str">
        <f>HYPERLINK("https://www.boe.es/gazeta/dias/1807/03/20/pdfs/GMD-1807-26.pdf#page=8","Abrir facsímil")</f>
        <v>Abrir facsímil</v>
      </c>
      <c r="K4550" s="15" t="s">
        <v>22</v>
      </c>
    </row>
    <row r="4551" spans="1:11" ht="42" customHeight="1">
      <c r="A4551" s="4" t="s">
        <v>10634</v>
      </c>
      <c r="B4551" s="5" t="s">
        <v>10635</v>
      </c>
      <c r="C4551" s="5" t="s">
        <v>34</v>
      </c>
      <c r="D4551" s="5" t="s">
        <v>35</v>
      </c>
      <c r="E4551" s="5" t="s">
        <v>3230</v>
      </c>
      <c r="F4551" s="9">
        <v>27</v>
      </c>
      <c r="G4551" s="9">
        <v>324</v>
      </c>
      <c r="H4551" s="5" t="s">
        <v>20</v>
      </c>
      <c r="I4551" s="5" t="s">
        <v>10636</v>
      </c>
      <c r="J4551" s="12" t="str">
        <f>HYPERLINK("https://www.boe.es/gazeta/dias/1807/03/24/pdfs/GMD-1807-27.pdf#page=8","Abrir facsímil")</f>
        <v>Abrir facsímil</v>
      </c>
      <c r="K4551" s="15" t="s">
        <v>22</v>
      </c>
    </row>
    <row r="4552" spans="1:11" ht="42" customHeight="1">
      <c r="A4552" s="4" t="s">
        <v>10637</v>
      </c>
      <c r="B4552" s="5" t="s">
        <v>10638</v>
      </c>
      <c r="C4552" s="5" t="s">
        <v>28</v>
      </c>
      <c r="D4552" s="5" t="s">
        <v>29</v>
      </c>
      <c r="E4552" s="5" t="s">
        <v>215</v>
      </c>
      <c r="F4552" s="9">
        <v>5</v>
      </c>
      <c r="G4552" s="9">
        <v>50</v>
      </c>
      <c r="H4552" s="5" t="s">
        <v>20</v>
      </c>
      <c r="I4552" s="5" t="s">
        <v>10639</v>
      </c>
      <c r="J4552" s="12" t="str">
        <f>HYPERLINK("https://www.boe.es/gazeta/dias/1807/01/16/pdfs/GMD-1807-5.pdf#page=6","Abrir facsímil")</f>
        <v>Abrir facsímil</v>
      </c>
      <c r="K4552" s="15" t="s">
        <v>22</v>
      </c>
    </row>
    <row r="4553" spans="1:11" ht="42" customHeight="1">
      <c r="A4553" s="4" t="s">
        <v>10640</v>
      </c>
      <c r="B4553" s="5" t="s">
        <v>10641</v>
      </c>
      <c r="C4553" s="5" t="s">
        <v>252</v>
      </c>
      <c r="D4553" s="5" t="s">
        <v>253</v>
      </c>
      <c r="E4553" s="5" t="s">
        <v>534</v>
      </c>
      <c r="F4553" s="9" t="s">
        <v>535</v>
      </c>
      <c r="G4553" s="9">
        <v>101</v>
      </c>
      <c r="H4553" s="5" t="s">
        <v>20</v>
      </c>
      <c r="I4553" s="5" t="s">
        <v>10642</v>
      </c>
      <c r="J4553" s="12" t="str">
        <f>HYPERLINK("https://www.boe.es/gazeta/dias/1807/01/24/pdfs/GMD-1807-9E.pdf#page=5","Abrir facsímil")</f>
        <v>Abrir facsímil</v>
      </c>
      <c r="K4553" s="15" t="s">
        <v>22</v>
      </c>
    </row>
    <row r="4554" spans="1:11" ht="42" customHeight="1">
      <c r="A4554" s="4" t="s">
        <v>10640</v>
      </c>
      <c r="B4554" s="5" t="s">
        <v>10641</v>
      </c>
      <c r="C4554" s="5" t="s">
        <v>252</v>
      </c>
      <c r="D4554" s="5" t="s">
        <v>253</v>
      </c>
      <c r="E4554" s="5" t="s">
        <v>534</v>
      </c>
      <c r="F4554" s="9" t="s">
        <v>535</v>
      </c>
      <c r="G4554" s="9">
        <v>98</v>
      </c>
      <c r="H4554" s="5" t="s">
        <v>20</v>
      </c>
      <c r="I4554" s="5" t="s">
        <v>10643</v>
      </c>
      <c r="J4554" s="12" t="str">
        <f>HYPERLINK("https://www.boe.es/gazeta/dias/1807/01/24/pdfs/GMD-1807-9E.pdf#page=2","Abrir facsímil")</f>
        <v>Abrir facsímil</v>
      </c>
      <c r="K4554" s="15" t="s">
        <v>22</v>
      </c>
    </row>
    <row r="4555" spans="1:11" ht="42" customHeight="1">
      <c r="A4555" s="4" t="s">
        <v>10640</v>
      </c>
      <c r="B4555" s="5" t="s">
        <v>10641</v>
      </c>
      <c r="C4555" s="5" t="s">
        <v>24</v>
      </c>
      <c r="D4555" s="5" t="s">
        <v>18</v>
      </c>
      <c r="E4555" s="5" t="s">
        <v>572</v>
      </c>
      <c r="F4555" s="9">
        <v>14</v>
      </c>
      <c r="G4555" s="9">
        <v>158</v>
      </c>
      <c r="H4555" s="5" t="s">
        <v>20</v>
      </c>
      <c r="I4555" s="5" t="s">
        <v>10644</v>
      </c>
      <c r="J4555" s="12" t="str">
        <f>HYPERLINK("https://www.boe.es/gazeta/dias/1807/02/10/pdfs/GMD-1807-14.pdf#page=6","Abrir facsímil")</f>
        <v>Abrir facsímil</v>
      </c>
      <c r="K4555" s="15" t="s">
        <v>22</v>
      </c>
    </row>
    <row r="4556" spans="1:11" ht="42" customHeight="1">
      <c r="A4556" s="4" t="s">
        <v>10645</v>
      </c>
      <c r="B4556" s="5" t="s">
        <v>10646</v>
      </c>
      <c r="C4556" s="5" t="s">
        <v>24</v>
      </c>
      <c r="D4556" s="5" t="s">
        <v>18</v>
      </c>
      <c r="E4556" s="5" t="s">
        <v>346</v>
      </c>
      <c r="F4556" s="9">
        <v>21</v>
      </c>
      <c r="G4556" s="9">
        <v>246</v>
      </c>
      <c r="H4556" s="5" t="s">
        <v>20</v>
      </c>
      <c r="I4556" s="5" t="s">
        <v>10647</v>
      </c>
      <c r="J4556" s="12" t="str">
        <f>HYPERLINK("https://www.boe.es/gazeta/dias/1807/03/03/pdfs/GMD-1807-21.pdf#page=10","Abrir facsímil")</f>
        <v>Abrir facsímil</v>
      </c>
      <c r="K4556" s="15" t="s">
        <v>22</v>
      </c>
    </row>
    <row r="4557" spans="1:11" ht="42" customHeight="1">
      <c r="A4557" s="4" t="s">
        <v>10648</v>
      </c>
      <c r="B4557" s="5" t="s">
        <v>10649</v>
      </c>
      <c r="C4557" s="5" t="s">
        <v>49</v>
      </c>
      <c r="D4557" s="5" t="s">
        <v>50</v>
      </c>
      <c r="E4557" s="5" t="s">
        <v>259</v>
      </c>
      <c r="F4557" s="9">
        <v>3</v>
      </c>
      <c r="G4557" s="9">
        <v>22</v>
      </c>
      <c r="H4557" s="5" t="s">
        <v>20</v>
      </c>
      <c r="I4557" s="5" t="s">
        <v>10650</v>
      </c>
      <c r="J4557" s="12" t="str">
        <f>HYPERLINK("https://www.boe.es/gazeta/dias/1807/01/09/pdfs/GMD-1807-3.pdf#page=2","Abrir facsímil")</f>
        <v>Abrir facsímil</v>
      </c>
      <c r="K4557" s="15" t="s">
        <v>22</v>
      </c>
    </row>
    <row r="4558" spans="1:11" ht="42" customHeight="1">
      <c r="A4558" s="4" t="s">
        <v>10648</v>
      </c>
      <c r="B4558" s="5" t="s">
        <v>10649</v>
      </c>
      <c r="C4558" s="5" t="s">
        <v>28</v>
      </c>
      <c r="D4558" s="5" t="s">
        <v>29</v>
      </c>
      <c r="E4558" s="5" t="s">
        <v>418</v>
      </c>
      <c r="F4558" s="9">
        <v>4</v>
      </c>
      <c r="G4558" s="9">
        <v>38</v>
      </c>
      <c r="H4558" s="5" t="s">
        <v>20</v>
      </c>
      <c r="I4558" s="5" t="s">
        <v>10651</v>
      </c>
      <c r="J4558" s="12" t="str">
        <f>HYPERLINK("https://www.boe.es/gazeta/dias/1807/01/13/pdfs/GMD-1807-4.pdf#page=6","Abrir facsímil")</f>
        <v>Abrir facsímil</v>
      </c>
      <c r="K4558" s="15" t="s">
        <v>22</v>
      </c>
    </row>
    <row r="4559" spans="1:11" ht="42" customHeight="1">
      <c r="A4559" s="4" t="s">
        <v>10652</v>
      </c>
      <c r="B4559" s="5" t="s">
        <v>10653</v>
      </c>
      <c r="C4559" s="5" t="s">
        <v>89</v>
      </c>
      <c r="D4559" s="5" t="s">
        <v>90</v>
      </c>
      <c r="E4559" s="5" t="s">
        <v>221</v>
      </c>
      <c r="F4559" s="9">
        <v>73</v>
      </c>
      <c r="G4559" s="9">
        <v>848</v>
      </c>
      <c r="H4559" s="5" t="s">
        <v>20</v>
      </c>
      <c r="I4559" s="5" t="s">
        <v>10654</v>
      </c>
      <c r="J4559" s="12" t="str">
        <f>HYPERLINK("https://www.boe.es/gazeta/dias/1807/08/14/pdfs/GMD-1807-73.pdf#page=12","Abrir facsímil")</f>
        <v>Abrir facsímil</v>
      </c>
      <c r="K4559" s="15" t="s">
        <v>22</v>
      </c>
    </row>
    <row r="4560" spans="1:11" ht="42" customHeight="1">
      <c r="A4560" s="4" t="s">
        <v>10655</v>
      </c>
      <c r="B4560" s="5" t="s">
        <v>10655</v>
      </c>
      <c r="C4560" s="5" t="s">
        <v>34</v>
      </c>
      <c r="D4560" s="5" t="s">
        <v>35</v>
      </c>
      <c r="E4560" s="5" t="s">
        <v>94</v>
      </c>
      <c r="F4560" s="9">
        <v>22</v>
      </c>
      <c r="G4560" s="9">
        <v>252</v>
      </c>
      <c r="H4560" s="5" t="s">
        <v>20</v>
      </c>
      <c r="I4560" s="5" t="s">
        <v>10656</v>
      </c>
      <c r="J4560" s="12" t="str">
        <f>HYPERLINK("https://www.boe.es/gazeta/dias/1807/03/06/pdfs/GMD-1807-22.pdf#page=4","Abrir facsímil")</f>
        <v>Abrir facsímil</v>
      </c>
      <c r="K4560" s="15" t="s">
        <v>22</v>
      </c>
    </row>
    <row r="4561" spans="1:11" ht="42" customHeight="1">
      <c r="A4561" s="4" t="s">
        <v>10657</v>
      </c>
      <c r="B4561" s="5" t="s">
        <v>10658</v>
      </c>
      <c r="C4561" s="5" t="s">
        <v>49</v>
      </c>
      <c r="D4561" s="5" t="s">
        <v>50</v>
      </c>
      <c r="E4561" s="5" t="s">
        <v>447</v>
      </c>
      <c r="F4561" s="9">
        <v>65</v>
      </c>
      <c r="G4561" s="9">
        <v>755</v>
      </c>
      <c r="H4561" s="5" t="s">
        <v>20</v>
      </c>
      <c r="I4561" s="5" t="s">
        <v>10659</v>
      </c>
      <c r="J4561" s="12" t="str">
        <f>HYPERLINK("https://www.boe.es/gazeta/dias/1807/07/24/pdfs/GMD-1807-65.pdf#page=5","Abrir facsímil")</f>
        <v>Abrir facsímil</v>
      </c>
      <c r="K4561" s="15" t="s">
        <v>22</v>
      </c>
    </row>
    <row r="4562" spans="1:11" ht="42" customHeight="1">
      <c r="A4562" s="4" t="s">
        <v>10660</v>
      </c>
      <c r="B4562" s="5" t="s">
        <v>10660</v>
      </c>
      <c r="C4562" s="5" t="s">
        <v>49</v>
      </c>
      <c r="D4562" s="5" t="s">
        <v>50</v>
      </c>
      <c r="E4562" s="5" t="s">
        <v>393</v>
      </c>
      <c r="F4562" s="9">
        <v>15</v>
      </c>
      <c r="G4562" s="9">
        <v>167</v>
      </c>
      <c r="H4562" s="5" t="s">
        <v>20</v>
      </c>
      <c r="I4562" s="5" t="s">
        <v>10661</v>
      </c>
      <c r="J4562" s="12" t="str">
        <f>HYPERLINK("https://www.boe.es/gazeta/dias/1807/02/13/pdfs/GMD-1807-15.pdf#page=3","Abrir facsímil")</f>
        <v>Abrir facsímil</v>
      </c>
      <c r="K4562" s="15" t="s">
        <v>22</v>
      </c>
    </row>
    <row r="4563" spans="1:11" ht="42" customHeight="1">
      <c r="A4563" s="4" t="s">
        <v>10662</v>
      </c>
      <c r="B4563" s="5" t="s">
        <v>10663</v>
      </c>
      <c r="C4563" s="5" t="s">
        <v>49</v>
      </c>
      <c r="D4563" s="5" t="s">
        <v>50</v>
      </c>
      <c r="E4563" s="5" t="s">
        <v>530</v>
      </c>
      <c r="F4563" s="9">
        <v>79</v>
      </c>
      <c r="G4563" s="9">
        <v>916</v>
      </c>
      <c r="H4563" s="5" t="s">
        <v>20</v>
      </c>
      <c r="I4563" s="5" t="s">
        <v>10664</v>
      </c>
      <c r="J4563" s="12" t="str">
        <f>HYPERLINK("https://www.boe.es/gazeta/dias/1807/09/04/pdfs/GMD-1807-79.pdf#page=8","Abrir facsímil")</f>
        <v>Abrir facsímil</v>
      </c>
      <c r="K4563" s="15" t="s">
        <v>22</v>
      </c>
    </row>
    <row r="4564" spans="1:11" ht="42" customHeight="1">
      <c r="A4564" s="4" t="s">
        <v>10665</v>
      </c>
      <c r="B4564" s="5" t="s">
        <v>10666</v>
      </c>
      <c r="C4564" s="5" t="s">
        <v>28</v>
      </c>
      <c r="D4564" s="5" t="s">
        <v>29</v>
      </c>
      <c r="E4564" s="5" t="s">
        <v>186</v>
      </c>
      <c r="F4564" s="9">
        <v>72</v>
      </c>
      <c r="G4564" s="9">
        <v>834</v>
      </c>
      <c r="H4564" s="5" t="s">
        <v>20</v>
      </c>
      <c r="I4564" s="5" t="s">
        <v>10667</v>
      </c>
      <c r="J4564" s="12" t="str">
        <f>HYPERLINK("https://www.boe.es/gazeta/dias/1807/08/11/pdfs/GMD-1807-72.pdf#page=14","Abrir facsímil")</f>
        <v>Abrir facsímil</v>
      </c>
      <c r="K4564" s="15" t="s">
        <v>22</v>
      </c>
    </row>
    <row r="4565" spans="1:11" ht="42" customHeight="1">
      <c r="A4565" s="4" t="s">
        <v>10668</v>
      </c>
      <c r="B4565" s="5" t="s">
        <v>10669</v>
      </c>
      <c r="C4565" s="5" t="s">
        <v>49</v>
      </c>
      <c r="D4565" s="5" t="s">
        <v>50</v>
      </c>
      <c r="E4565" s="5" t="s">
        <v>1177</v>
      </c>
      <c r="F4565" s="9">
        <v>101</v>
      </c>
      <c r="G4565" s="9">
        <v>1175</v>
      </c>
      <c r="H4565" s="5" t="s">
        <v>20</v>
      </c>
      <c r="I4565" s="5" t="s">
        <v>10670</v>
      </c>
      <c r="J4565" s="12" t="str">
        <f>HYPERLINK("https://www.boe.es/gazeta/dias/1807/11/13/pdfs/GMD-1807-101.pdf#page=7","Abrir facsímil")</f>
        <v>Abrir facsímil</v>
      </c>
      <c r="K4565" s="15" t="s">
        <v>22</v>
      </c>
    </row>
    <row r="4566" spans="1:11" ht="42" customHeight="1">
      <c r="A4566" s="4" t="s">
        <v>10671</v>
      </c>
      <c r="B4566" s="5" t="s">
        <v>10672</v>
      </c>
      <c r="C4566" s="5" t="s">
        <v>49</v>
      </c>
      <c r="D4566" s="5" t="s">
        <v>50</v>
      </c>
      <c r="E4566" s="5" t="s">
        <v>346</v>
      </c>
      <c r="F4566" s="9">
        <v>21</v>
      </c>
      <c r="G4566" s="9">
        <v>240</v>
      </c>
      <c r="H4566" s="5" t="s">
        <v>20</v>
      </c>
      <c r="I4566" s="5" t="s">
        <v>10673</v>
      </c>
      <c r="J4566" s="12" t="str">
        <f>HYPERLINK("https://www.boe.es/gazeta/dias/1807/03/03/pdfs/GMD-1807-21.pdf#page=4","Abrir facsímil")</f>
        <v>Abrir facsímil</v>
      </c>
      <c r="K4566" s="15" t="s">
        <v>22</v>
      </c>
    </row>
    <row r="4567" spans="1:11" ht="42" customHeight="1">
      <c r="A4567" s="4" t="s">
        <v>10674</v>
      </c>
      <c r="B4567" s="5" t="s">
        <v>10675</v>
      </c>
      <c r="C4567" s="5" t="s">
        <v>34</v>
      </c>
      <c r="D4567" s="5" t="s">
        <v>35</v>
      </c>
      <c r="E4567" s="5" t="s">
        <v>152</v>
      </c>
      <c r="F4567" s="9">
        <v>61</v>
      </c>
      <c r="G4567" s="9">
        <v>720</v>
      </c>
      <c r="H4567" s="5" t="s">
        <v>20</v>
      </c>
      <c r="I4567" s="5" t="s">
        <v>10676</v>
      </c>
      <c r="J4567" s="12" t="str">
        <f>HYPERLINK("https://www.boe.es/gazeta/dias/1807/07/14/pdfs/GMD-1807-61.pdf#page=6","Abrir facsímil")</f>
        <v>Abrir facsímil</v>
      </c>
      <c r="K4567" s="15" t="s">
        <v>22</v>
      </c>
    </row>
    <row r="4568" spans="1:11" ht="42" customHeight="1">
      <c r="A4568" s="4" t="s">
        <v>10677</v>
      </c>
      <c r="B4568" s="5" t="s">
        <v>10677</v>
      </c>
      <c r="C4568" s="5" t="s">
        <v>49</v>
      </c>
      <c r="D4568" s="5" t="s">
        <v>50</v>
      </c>
      <c r="E4568" s="5" t="s">
        <v>51</v>
      </c>
      <c r="F4568" s="9">
        <v>62</v>
      </c>
      <c r="G4568" s="9">
        <v>727</v>
      </c>
      <c r="H4568" s="5" t="s">
        <v>20</v>
      </c>
      <c r="I4568" s="5" t="s">
        <v>10678</v>
      </c>
      <c r="J4568" s="12" t="str">
        <f>HYPERLINK("https://www.boe.es/gazeta/dias/1807/07/17/pdfs/GMD-1807-62.pdf#page=1","Abrir facsímil")</f>
        <v>Abrir facsímil</v>
      </c>
      <c r="K4568" s="15" t="s">
        <v>22</v>
      </c>
    </row>
    <row r="4569" spans="1:11" ht="42" customHeight="1">
      <c r="A4569" s="4" t="s">
        <v>10679</v>
      </c>
      <c r="B4569" s="5" t="s">
        <v>10680</v>
      </c>
      <c r="C4569" s="5" t="s">
        <v>49</v>
      </c>
      <c r="D4569" s="5" t="s">
        <v>50</v>
      </c>
      <c r="E4569" s="5" t="s">
        <v>561</v>
      </c>
      <c r="F4569" s="9">
        <v>44</v>
      </c>
      <c r="G4569" s="9">
        <v>521</v>
      </c>
      <c r="H4569" s="5" t="s">
        <v>20</v>
      </c>
      <c r="I4569" s="5" t="s">
        <v>10681</v>
      </c>
      <c r="J4569" s="12" t="str">
        <f>HYPERLINK("https://www.boe.es/gazeta/dias/1807/05/22/pdfs/GMD-1807-44.pdf#page=3","Abrir facsímil")</f>
        <v>Abrir facsímil</v>
      </c>
      <c r="K4569" s="15" t="s">
        <v>22</v>
      </c>
    </row>
    <row r="4570" spans="1:11" ht="42" customHeight="1">
      <c r="A4570" s="4" t="s">
        <v>10682</v>
      </c>
      <c r="B4570" s="5" t="s">
        <v>10682</v>
      </c>
      <c r="C4570" s="5" t="s">
        <v>49</v>
      </c>
      <c r="D4570" s="5" t="s">
        <v>50</v>
      </c>
      <c r="E4570" s="5" t="s">
        <v>42</v>
      </c>
      <c r="F4570" s="9">
        <v>31</v>
      </c>
      <c r="G4570" s="9">
        <v>362</v>
      </c>
      <c r="H4570" s="5" t="s">
        <v>20</v>
      </c>
      <c r="I4570" s="5" t="s">
        <v>10683</v>
      </c>
      <c r="J4570" s="12" t="str">
        <f>HYPERLINK("https://www.boe.es/gazeta/dias/1807/04/07/pdfs/GMD-1807-31.pdf#page=2","Abrir facsímil")</f>
        <v>Abrir facsímil</v>
      </c>
      <c r="K4570" s="15" t="s">
        <v>22</v>
      </c>
    </row>
    <row r="4571" spans="1:11" ht="42" customHeight="1">
      <c r="A4571" s="4" t="s">
        <v>10684</v>
      </c>
      <c r="B4571" s="5" t="s">
        <v>10684</v>
      </c>
      <c r="C4571" s="5" t="s">
        <v>49</v>
      </c>
      <c r="D4571" s="5" t="s">
        <v>50</v>
      </c>
      <c r="E4571" s="5" t="s">
        <v>447</v>
      </c>
      <c r="F4571" s="9">
        <v>65</v>
      </c>
      <c r="G4571" s="9">
        <v>752</v>
      </c>
      <c r="H4571" s="5" t="s">
        <v>20</v>
      </c>
      <c r="I4571" s="5" t="s">
        <v>10685</v>
      </c>
      <c r="J4571" s="12" t="str">
        <f>HYPERLINK("https://www.boe.es/gazeta/dias/1807/07/24/pdfs/GMD-1807-65.pdf#page=2","Abrir facsímil")</f>
        <v>Abrir facsímil</v>
      </c>
      <c r="K4571" s="15" t="s">
        <v>22</v>
      </c>
    </row>
    <row r="4572" spans="1:11" ht="42" customHeight="1">
      <c r="A4572" s="4" t="s">
        <v>10686</v>
      </c>
      <c r="B4572" s="5" t="s">
        <v>10687</v>
      </c>
      <c r="C4572" s="5" t="s">
        <v>28</v>
      </c>
      <c r="D4572" s="5" t="s">
        <v>29</v>
      </c>
      <c r="E4572" s="5" t="s">
        <v>1340</v>
      </c>
      <c r="F4572" s="9">
        <v>114</v>
      </c>
      <c r="G4572" s="9">
        <v>1331</v>
      </c>
      <c r="H4572" s="5" t="s">
        <v>20</v>
      </c>
      <c r="I4572" s="5" t="s">
        <v>10688</v>
      </c>
      <c r="J4572" s="12" t="str">
        <f>HYPERLINK("https://www.boe.es/gazeta/dias/1807/12/25/pdfs/GMD-1807-114.pdf#page=7","Abrir facsímil")</f>
        <v>Abrir facsímil</v>
      </c>
      <c r="K4572" s="15" t="s">
        <v>22</v>
      </c>
    </row>
    <row r="4573" spans="1:11" ht="42" customHeight="1">
      <c r="A4573" s="4" t="s">
        <v>10689</v>
      </c>
      <c r="B4573" s="5" t="s">
        <v>10689</v>
      </c>
      <c r="C4573" s="5" t="s">
        <v>28</v>
      </c>
      <c r="D4573" s="5" t="s">
        <v>29</v>
      </c>
      <c r="E4573" s="5" t="s">
        <v>418</v>
      </c>
      <c r="F4573" s="9">
        <v>4</v>
      </c>
      <c r="G4573" s="9">
        <v>41</v>
      </c>
      <c r="H4573" s="5" t="s">
        <v>20</v>
      </c>
      <c r="I4573" s="5" t="s">
        <v>10690</v>
      </c>
      <c r="J4573" s="12" t="str">
        <f>HYPERLINK("https://www.boe.es/gazeta/dias/1807/01/13/pdfs/GMD-1807-4.pdf#page=9","Abrir facsímil")</f>
        <v>Abrir facsímil</v>
      </c>
      <c r="K4573" s="15" t="s">
        <v>22</v>
      </c>
    </row>
    <row r="4574" spans="1:11" ht="42" customHeight="1">
      <c r="A4574" s="4" t="s">
        <v>10689</v>
      </c>
      <c r="B4574" s="5" t="s">
        <v>10689</v>
      </c>
      <c r="C4574" s="5" t="s">
        <v>49</v>
      </c>
      <c r="D4574" s="5" t="s">
        <v>50</v>
      </c>
      <c r="E4574" s="5" t="s">
        <v>83</v>
      </c>
      <c r="F4574" s="9">
        <v>50</v>
      </c>
      <c r="G4574" s="9">
        <v>590</v>
      </c>
      <c r="H4574" s="5" t="s">
        <v>20</v>
      </c>
      <c r="I4574" s="5" t="s">
        <v>10691</v>
      </c>
      <c r="J4574" s="12" t="str">
        <f>HYPERLINK("https://www.boe.es/gazeta/dias/1807/06/12/pdfs/GMD-1807-50.pdf#page=4","Abrir facsímil")</f>
        <v>Abrir facsímil</v>
      </c>
      <c r="K4574" s="15" t="s">
        <v>22</v>
      </c>
    </row>
    <row r="4575" spans="1:11" ht="42" customHeight="1">
      <c r="A4575" s="4" t="s">
        <v>10692</v>
      </c>
      <c r="B4575" s="5" t="s">
        <v>10693</v>
      </c>
      <c r="C4575" s="5" t="s">
        <v>49</v>
      </c>
      <c r="D4575" s="5" t="s">
        <v>50</v>
      </c>
      <c r="E4575" s="5" t="s">
        <v>79</v>
      </c>
      <c r="F4575" s="9">
        <v>11</v>
      </c>
      <c r="G4575" s="9">
        <v>119</v>
      </c>
      <c r="H4575" s="5" t="s">
        <v>20</v>
      </c>
      <c r="I4575" s="5" t="s">
        <v>10694</v>
      </c>
      <c r="J4575" s="12" t="str">
        <f>HYPERLINK("https://www.boe.es/gazeta/dias/1807/01/30/pdfs/GMD-1807-11.pdf#page=3","Abrir facsímil")</f>
        <v>Abrir facsímil</v>
      </c>
      <c r="K4575" s="15" t="s">
        <v>22</v>
      </c>
    </row>
    <row r="4576" spans="1:11" ht="42" customHeight="1">
      <c r="A4576" s="4" t="s">
        <v>10692</v>
      </c>
      <c r="B4576" s="5" t="s">
        <v>10693</v>
      </c>
      <c r="C4576" s="5" t="s">
        <v>49</v>
      </c>
      <c r="D4576" s="5" t="s">
        <v>50</v>
      </c>
      <c r="E4576" s="5" t="s">
        <v>79</v>
      </c>
      <c r="F4576" s="9">
        <v>11</v>
      </c>
      <c r="G4576" s="9">
        <v>120</v>
      </c>
      <c r="H4576" s="5" t="s">
        <v>20</v>
      </c>
      <c r="I4576" s="5" t="s">
        <v>10695</v>
      </c>
      <c r="J4576" s="12" t="str">
        <f>HYPERLINK("https://www.boe.es/gazeta/dias/1807/01/30/pdfs/GMD-1807-11.pdf#page=4","Abrir facsímil")</f>
        <v>Abrir facsímil</v>
      </c>
      <c r="K4576" s="15" t="s">
        <v>22</v>
      </c>
    </row>
    <row r="4577" spans="1:11" ht="42" customHeight="1">
      <c r="A4577" s="4" t="s">
        <v>10696</v>
      </c>
      <c r="B4577" s="5" t="s">
        <v>10696</v>
      </c>
      <c r="C4577" s="5" t="s">
        <v>24</v>
      </c>
      <c r="D4577" s="5" t="s">
        <v>18</v>
      </c>
      <c r="E4577" s="5" t="s">
        <v>98</v>
      </c>
      <c r="F4577" s="9">
        <v>34</v>
      </c>
      <c r="G4577" s="9">
        <v>400</v>
      </c>
      <c r="H4577" s="5" t="s">
        <v>20</v>
      </c>
      <c r="I4577" s="5" t="s">
        <v>10697</v>
      </c>
      <c r="J4577" s="12" t="str">
        <f>HYPERLINK("https://www.boe.es/gazeta/dias/1807/04/17/pdfs/GMD-1807-34.pdf#page=4","Abrir facsímil")</f>
        <v>Abrir facsímil</v>
      </c>
      <c r="K4577" s="15" t="s">
        <v>22</v>
      </c>
    </row>
    <row r="4578" spans="1:11" ht="42" customHeight="1">
      <c r="A4578" s="4" t="s">
        <v>10698</v>
      </c>
      <c r="B4578" s="5" t="s">
        <v>10699</v>
      </c>
      <c r="C4578" s="5" t="s">
        <v>28</v>
      </c>
      <c r="D4578" s="5" t="s">
        <v>29</v>
      </c>
      <c r="E4578" s="5" t="s">
        <v>418</v>
      </c>
      <c r="F4578" s="9">
        <v>4</v>
      </c>
      <c r="G4578" s="9">
        <v>39</v>
      </c>
      <c r="H4578" s="5" t="s">
        <v>20</v>
      </c>
      <c r="I4578" s="5" t="s">
        <v>10700</v>
      </c>
      <c r="J4578" s="12" t="str">
        <f>HYPERLINK("https://www.boe.es/gazeta/dias/1807/01/13/pdfs/GMD-1807-4.pdf#page=7","Abrir facsímil")</f>
        <v>Abrir facsímil</v>
      </c>
      <c r="K4578" s="15" t="s">
        <v>22</v>
      </c>
    </row>
    <row r="4579" spans="1:11" ht="42" customHeight="1">
      <c r="A4579" s="4" t="s">
        <v>10701</v>
      </c>
      <c r="B4579" s="5" t="s">
        <v>10702</v>
      </c>
      <c r="C4579" s="5" t="s">
        <v>89</v>
      </c>
      <c r="D4579" s="5" t="s">
        <v>90</v>
      </c>
      <c r="E4579" s="5" t="s">
        <v>595</v>
      </c>
      <c r="F4579" s="9">
        <v>59</v>
      </c>
      <c r="G4579" s="9">
        <v>706</v>
      </c>
      <c r="H4579" s="5" t="s">
        <v>20</v>
      </c>
      <c r="I4579" s="5" t="s">
        <v>10703</v>
      </c>
      <c r="J4579" s="12" t="str">
        <f>HYPERLINK("https://www.boe.es/gazeta/dias/1807/07/10/pdfs/GMD-1807-59.pdf#page=12","Abrir facsímil")</f>
        <v>Abrir facsímil</v>
      </c>
      <c r="K4579" s="15" t="s">
        <v>22</v>
      </c>
    </row>
    <row r="4580" spans="1:11" ht="42" customHeight="1">
      <c r="A4580" s="4" t="s">
        <v>10704</v>
      </c>
      <c r="B4580" s="5" t="s">
        <v>10705</v>
      </c>
      <c r="C4580" s="5" t="s">
        <v>28</v>
      </c>
      <c r="D4580" s="5" t="s">
        <v>29</v>
      </c>
      <c r="E4580" s="5" t="s">
        <v>418</v>
      </c>
      <c r="F4580" s="9">
        <v>4</v>
      </c>
      <c r="G4580" s="9">
        <v>39</v>
      </c>
      <c r="H4580" s="5" t="s">
        <v>20</v>
      </c>
      <c r="I4580" s="5" t="s">
        <v>10706</v>
      </c>
      <c r="J4580" s="12" t="str">
        <f>HYPERLINK("https://www.boe.es/gazeta/dias/1807/01/13/pdfs/GMD-1807-4.pdf#page=7","Abrir facsímil")</f>
        <v>Abrir facsímil</v>
      </c>
      <c r="K4580" s="15" t="s">
        <v>22</v>
      </c>
    </row>
    <row r="4581" spans="1:11" ht="42" customHeight="1">
      <c r="A4581" s="4" t="s">
        <v>10707</v>
      </c>
      <c r="B4581" s="5" t="s">
        <v>10708</v>
      </c>
      <c r="C4581" s="5" t="s">
        <v>28</v>
      </c>
      <c r="D4581" s="5" t="s">
        <v>29</v>
      </c>
      <c r="E4581" s="5" t="s">
        <v>53</v>
      </c>
      <c r="F4581" s="9">
        <v>64</v>
      </c>
      <c r="G4581" s="9">
        <v>749</v>
      </c>
      <c r="H4581" s="5" t="s">
        <v>20</v>
      </c>
      <c r="I4581" s="5" t="s">
        <v>10709</v>
      </c>
      <c r="J4581" s="12" t="str">
        <f>HYPERLINK("https://www.boe.es/gazeta/dias/1807/07/21/pdfs/GMD-1807-64.pdf#page=11","Abrir facsímil")</f>
        <v>Abrir facsímil</v>
      </c>
      <c r="K4581" s="15" t="s">
        <v>22</v>
      </c>
    </row>
    <row r="4582" spans="1:11" ht="42" customHeight="1">
      <c r="A4582" s="4" t="s">
        <v>10707</v>
      </c>
      <c r="B4582" s="5" t="s">
        <v>10708</v>
      </c>
      <c r="C4582" s="5" t="s">
        <v>24</v>
      </c>
      <c r="D4582" s="5" t="s">
        <v>18</v>
      </c>
      <c r="E4582" s="5" t="s">
        <v>754</v>
      </c>
      <c r="F4582" s="9">
        <v>103</v>
      </c>
      <c r="G4582" s="9">
        <v>1204</v>
      </c>
      <c r="H4582" s="5" t="s">
        <v>20</v>
      </c>
      <c r="I4582" s="5" t="s">
        <v>10710</v>
      </c>
      <c r="J4582" s="12" t="str">
        <f>HYPERLINK("https://www.boe.es/gazeta/dias/1807/11/20/pdfs/GMD-1807-103.pdf#page=12","Abrir facsímil")</f>
        <v>Abrir facsímil</v>
      </c>
      <c r="K4582" s="15" t="s">
        <v>22</v>
      </c>
    </row>
    <row r="4583" spans="1:11" ht="42" customHeight="1">
      <c r="A4583" s="4" t="s">
        <v>10711</v>
      </c>
      <c r="B4583" s="5" t="s">
        <v>10712</v>
      </c>
      <c r="C4583" s="5" t="s">
        <v>34</v>
      </c>
      <c r="D4583" s="5" t="s">
        <v>35</v>
      </c>
      <c r="E4583" s="5" t="s">
        <v>666</v>
      </c>
      <c r="F4583" s="9">
        <v>43</v>
      </c>
      <c r="G4583" s="9">
        <v>515</v>
      </c>
      <c r="H4583" s="5" t="s">
        <v>20</v>
      </c>
      <c r="I4583" s="5" t="s">
        <v>10713</v>
      </c>
      <c r="J4583" s="12" t="str">
        <f>HYPERLINK("https://www.boe.es/gazeta/dias/1807/05/19/pdfs/GMD-1807-43.pdf#page=9","Abrir facsímil")</f>
        <v>Abrir facsímil</v>
      </c>
      <c r="K4583" s="15" t="s">
        <v>22</v>
      </c>
    </row>
    <row r="4584" spans="1:11" ht="42" customHeight="1">
      <c r="A4584" s="4" t="s">
        <v>10714</v>
      </c>
      <c r="B4584" s="5" t="s">
        <v>10715</v>
      </c>
      <c r="C4584" s="5" t="s">
        <v>24</v>
      </c>
      <c r="D4584" s="5" t="s">
        <v>18</v>
      </c>
      <c r="E4584" s="5" t="s">
        <v>464</v>
      </c>
      <c r="F4584" s="9">
        <v>18</v>
      </c>
      <c r="G4584" s="9">
        <v>212</v>
      </c>
      <c r="H4584" s="5" t="s">
        <v>20</v>
      </c>
      <c r="I4584" s="5" t="s">
        <v>10716</v>
      </c>
      <c r="J4584" s="12" t="str">
        <f>HYPERLINK("https://www.boe.es/gazeta/dias/1807/02/24/pdfs/GMD-1807-18.pdf#page=12","Abrir facsímil")</f>
        <v>Abrir facsímil</v>
      </c>
      <c r="K4584" s="15" t="s">
        <v>22</v>
      </c>
    </row>
    <row r="4585" spans="1:11" ht="42" customHeight="1">
      <c r="A4585" s="4" t="s">
        <v>10717</v>
      </c>
      <c r="B4585" s="5" t="s">
        <v>10718</v>
      </c>
      <c r="C4585" s="5" t="s">
        <v>28</v>
      </c>
      <c r="D4585" s="5" t="s">
        <v>29</v>
      </c>
      <c r="E4585" s="5" t="s">
        <v>245</v>
      </c>
      <c r="F4585" s="9">
        <v>97</v>
      </c>
      <c r="G4585" s="9">
        <v>1127</v>
      </c>
      <c r="H4585" s="5" t="s">
        <v>20</v>
      </c>
      <c r="I4585" s="5" t="s">
        <v>10719</v>
      </c>
      <c r="J4585" s="12" t="str">
        <f>HYPERLINK("https://www.boe.es/gazeta/dias/1807/10/30/pdfs/GMD-1807-97.pdf#page=7","Abrir facsímil")</f>
        <v>Abrir facsímil</v>
      </c>
      <c r="K4585" s="15" t="s">
        <v>22</v>
      </c>
    </row>
    <row r="4586" spans="1:11" ht="42" customHeight="1">
      <c r="A4586" s="4" t="s">
        <v>10720</v>
      </c>
      <c r="B4586" s="5" t="s">
        <v>10721</v>
      </c>
      <c r="C4586" s="5" t="s">
        <v>89</v>
      </c>
      <c r="D4586" s="5" t="s">
        <v>90</v>
      </c>
      <c r="E4586" s="5" t="s">
        <v>572</v>
      </c>
      <c r="F4586" s="9">
        <v>14</v>
      </c>
      <c r="G4586" s="9">
        <v>158</v>
      </c>
      <c r="H4586" s="5" t="s">
        <v>20</v>
      </c>
      <c r="I4586" s="5" t="s">
        <v>10722</v>
      </c>
      <c r="J4586" s="12" t="str">
        <f>HYPERLINK("https://www.boe.es/gazeta/dias/1807/02/10/pdfs/GMD-1807-14.pdf#page=6","Abrir facsímil")</f>
        <v>Abrir facsímil</v>
      </c>
      <c r="K4586" s="15" t="s">
        <v>22</v>
      </c>
    </row>
    <row r="4587" spans="1:11" ht="42" customHeight="1">
      <c r="A4587" s="4" t="s">
        <v>10723</v>
      </c>
      <c r="B4587" s="5" t="s">
        <v>10723</v>
      </c>
      <c r="C4587" s="5" t="s">
        <v>49</v>
      </c>
      <c r="D4587" s="5" t="s">
        <v>50</v>
      </c>
      <c r="E4587" s="5" t="s">
        <v>296</v>
      </c>
      <c r="F4587" s="9">
        <v>102</v>
      </c>
      <c r="G4587" s="9">
        <v>1186</v>
      </c>
      <c r="H4587" s="5" t="s">
        <v>20</v>
      </c>
      <c r="I4587" s="5" t="s">
        <v>10724</v>
      </c>
      <c r="J4587" s="12" t="str">
        <f>HYPERLINK("https://www.boe.es/gazeta/dias/1807/11/17/pdfs/GMD-1807-102.pdf#page=6","Abrir facsímil")</f>
        <v>Abrir facsímil</v>
      </c>
      <c r="K4587" s="15" t="s">
        <v>22</v>
      </c>
    </row>
    <row r="4588" spans="1:11" ht="42" customHeight="1">
      <c r="A4588" s="4" t="s">
        <v>10725</v>
      </c>
      <c r="B4588" s="5" t="s">
        <v>10726</v>
      </c>
      <c r="C4588" s="5" t="s">
        <v>34</v>
      </c>
      <c r="D4588" s="5" t="s">
        <v>35</v>
      </c>
      <c r="E4588" s="5" t="s">
        <v>376</v>
      </c>
      <c r="F4588" s="9">
        <v>19</v>
      </c>
      <c r="G4588" s="9">
        <v>218</v>
      </c>
      <c r="H4588" s="5" t="s">
        <v>20</v>
      </c>
      <c r="I4588" s="5" t="s">
        <v>10727</v>
      </c>
      <c r="J4588" s="12" t="str">
        <f>HYPERLINK("https://www.boe.es/gazeta/dias/1807/02/27/pdfs/GMD-1807-19.pdf#page=2","Abrir facsímil")</f>
        <v>Abrir facsímil</v>
      </c>
      <c r="K4588" s="15" t="s">
        <v>22</v>
      </c>
    </row>
    <row r="4589" spans="1:11" ht="42" customHeight="1">
      <c r="A4589" s="4" t="s">
        <v>10725</v>
      </c>
      <c r="B4589" s="5" t="s">
        <v>10726</v>
      </c>
      <c r="C4589" s="5" t="s">
        <v>24</v>
      </c>
      <c r="D4589" s="5" t="s">
        <v>18</v>
      </c>
      <c r="E4589" s="5" t="s">
        <v>376</v>
      </c>
      <c r="F4589" s="9">
        <v>19</v>
      </c>
      <c r="G4589" s="9">
        <v>221</v>
      </c>
      <c r="H4589" s="5" t="s">
        <v>20</v>
      </c>
      <c r="I4589" s="5" t="s">
        <v>10728</v>
      </c>
      <c r="J4589" s="12" t="str">
        <f>HYPERLINK("https://www.boe.es/gazeta/dias/1807/02/27/pdfs/GMD-1807-19.pdf#page=5","Abrir facsímil")</f>
        <v>Abrir facsímil</v>
      </c>
      <c r="K4589" s="15" t="s">
        <v>22</v>
      </c>
    </row>
    <row r="4590" spans="1:11" ht="42" customHeight="1">
      <c r="A4590" s="4" t="s">
        <v>10725</v>
      </c>
      <c r="B4590" s="5" t="s">
        <v>10726</v>
      </c>
      <c r="C4590" s="5" t="s">
        <v>49</v>
      </c>
      <c r="D4590" s="5" t="s">
        <v>50</v>
      </c>
      <c r="E4590" s="5" t="s">
        <v>296</v>
      </c>
      <c r="F4590" s="9">
        <v>102</v>
      </c>
      <c r="G4590" s="9">
        <v>1186</v>
      </c>
      <c r="H4590" s="5" t="s">
        <v>20</v>
      </c>
      <c r="I4590" s="5" t="s">
        <v>10729</v>
      </c>
      <c r="J4590" s="12" t="str">
        <f>HYPERLINK("https://www.boe.es/gazeta/dias/1807/11/17/pdfs/GMD-1807-102.pdf#page=6","Abrir facsímil")</f>
        <v>Abrir facsímil</v>
      </c>
      <c r="K4590" s="15" t="s">
        <v>22</v>
      </c>
    </row>
    <row r="4591" spans="1:11" ht="42" customHeight="1">
      <c r="A4591" s="4" t="s">
        <v>10725</v>
      </c>
      <c r="B4591" s="5" t="s">
        <v>10726</v>
      </c>
      <c r="C4591" s="5" t="s">
        <v>28</v>
      </c>
      <c r="D4591" s="5" t="s">
        <v>29</v>
      </c>
      <c r="E4591" s="5" t="s">
        <v>327</v>
      </c>
      <c r="F4591" s="9">
        <v>108</v>
      </c>
      <c r="G4591" s="9">
        <v>1257</v>
      </c>
      <c r="H4591" s="5" t="s">
        <v>20</v>
      </c>
      <c r="I4591" s="5" t="s">
        <v>10730</v>
      </c>
      <c r="J4591" s="12" t="str">
        <f>HYPERLINK("https://www.boe.es/gazeta/dias/1807/12/04/pdfs/GMD-1807-108.pdf#page=5","Abrir facsímil")</f>
        <v>Abrir facsímil</v>
      </c>
      <c r="K4591" s="15" t="s">
        <v>22</v>
      </c>
    </row>
    <row r="4592" spans="1:11" ht="42" customHeight="1">
      <c r="A4592" s="4" t="s">
        <v>10731</v>
      </c>
      <c r="B4592" s="5" t="s">
        <v>10731</v>
      </c>
      <c r="C4592" s="5" t="s">
        <v>34</v>
      </c>
      <c r="D4592" s="5" t="s">
        <v>35</v>
      </c>
      <c r="E4592" s="5" t="s">
        <v>149</v>
      </c>
      <c r="F4592" s="9">
        <v>38</v>
      </c>
      <c r="G4592" s="9">
        <v>445</v>
      </c>
      <c r="H4592" s="5" t="s">
        <v>20</v>
      </c>
      <c r="I4592" s="5" t="s">
        <v>10732</v>
      </c>
      <c r="J4592" s="12" t="str">
        <f>HYPERLINK("https://www.boe.es/gazeta/dias/1807/05/01/pdfs/GMD-1807-38.pdf#page=1","Abrir facsímil")</f>
        <v>Abrir facsímil</v>
      </c>
      <c r="K4592" s="15" t="s">
        <v>22</v>
      </c>
    </row>
    <row r="4593" spans="1:11" ht="42" customHeight="1">
      <c r="A4593" s="4" t="s">
        <v>10733</v>
      </c>
      <c r="B4593" s="5" t="s">
        <v>10734</v>
      </c>
      <c r="C4593" s="5" t="s">
        <v>28</v>
      </c>
      <c r="D4593" s="5" t="s">
        <v>29</v>
      </c>
      <c r="E4593" s="5" t="s">
        <v>1934</v>
      </c>
      <c r="F4593" s="9">
        <v>2</v>
      </c>
      <c r="G4593" s="9">
        <v>18</v>
      </c>
      <c r="H4593" s="5" t="s">
        <v>20</v>
      </c>
      <c r="I4593" s="5" t="s">
        <v>10735</v>
      </c>
      <c r="J4593" s="12" t="str">
        <f>HYPERLINK("https://www.boe.es/gazeta/dias/1807/01/06/pdfs/GMD-1807-2.pdf#page=6","Abrir facsímil")</f>
        <v>Abrir facsímil</v>
      </c>
      <c r="K4593" s="15" t="s">
        <v>22</v>
      </c>
    </row>
    <row r="4594" spans="1:11" ht="42" customHeight="1">
      <c r="A4594" s="4" t="s">
        <v>10736</v>
      </c>
      <c r="B4594" s="5" t="s">
        <v>10737</v>
      </c>
      <c r="C4594" s="5" t="s">
        <v>49</v>
      </c>
      <c r="D4594" s="5" t="s">
        <v>50</v>
      </c>
      <c r="E4594" s="5" t="s">
        <v>346</v>
      </c>
      <c r="F4594" s="9">
        <v>21</v>
      </c>
      <c r="G4594" s="9">
        <v>241</v>
      </c>
      <c r="H4594" s="5" t="s">
        <v>20</v>
      </c>
      <c r="I4594" s="5" t="s">
        <v>10738</v>
      </c>
      <c r="J4594" s="12" t="str">
        <f>HYPERLINK("https://www.boe.es/gazeta/dias/1807/03/03/pdfs/GMD-1807-21.pdf#page=5","Abrir facsímil")</f>
        <v>Abrir facsímil</v>
      </c>
      <c r="K4594" s="15" t="s">
        <v>22</v>
      </c>
    </row>
    <row r="4595" spans="1:11" ht="42" customHeight="1">
      <c r="A4595" s="4" t="s">
        <v>10739</v>
      </c>
      <c r="B4595" s="5" t="s">
        <v>10740</v>
      </c>
      <c r="C4595" s="5" t="s">
        <v>34</v>
      </c>
      <c r="D4595" s="5" t="s">
        <v>35</v>
      </c>
      <c r="E4595" s="5" t="s">
        <v>441</v>
      </c>
      <c r="F4595" s="9">
        <v>92</v>
      </c>
      <c r="G4595" s="9">
        <v>1068</v>
      </c>
      <c r="H4595" s="5" t="s">
        <v>20</v>
      </c>
      <c r="I4595" s="5" t="s">
        <v>10741</v>
      </c>
      <c r="J4595" s="12" t="str">
        <f>HYPERLINK("https://www.boe.es/gazeta/dias/1807/10/13/pdfs/GMD-1807-92.pdf#page=8","Abrir facsímil")</f>
        <v>Abrir facsímil</v>
      </c>
      <c r="K4595" s="15" t="s">
        <v>22</v>
      </c>
    </row>
    <row r="4596" spans="1:11" ht="42" customHeight="1">
      <c r="A4596" s="4" t="s">
        <v>10742</v>
      </c>
      <c r="B4596" s="5" t="s">
        <v>10743</v>
      </c>
      <c r="C4596" s="5" t="s">
        <v>24</v>
      </c>
      <c r="D4596" s="5" t="s">
        <v>18</v>
      </c>
      <c r="E4596" s="5" t="s">
        <v>305</v>
      </c>
      <c r="F4596" s="9">
        <v>53</v>
      </c>
      <c r="G4596" s="9">
        <v>635</v>
      </c>
      <c r="H4596" s="5" t="s">
        <v>20</v>
      </c>
      <c r="I4596" s="5" t="s">
        <v>10744</v>
      </c>
      <c r="J4596" s="12" t="str">
        <f>HYPERLINK("https://www.boe.es/gazeta/dias/1807/06/23/pdfs/GMD-1807-53.pdf#page=9","Abrir facsímil")</f>
        <v>Abrir facsímil</v>
      </c>
      <c r="K4596" s="15" t="s">
        <v>22</v>
      </c>
    </row>
    <row r="4597" spans="1:11" ht="42" customHeight="1">
      <c r="A4597" s="4" t="s">
        <v>10742</v>
      </c>
      <c r="B4597" s="5" t="s">
        <v>10743</v>
      </c>
      <c r="C4597" s="5" t="s">
        <v>24</v>
      </c>
      <c r="D4597" s="5" t="s">
        <v>18</v>
      </c>
      <c r="E4597" s="5" t="s">
        <v>135</v>
      </c>
      <c r="F4597" s="9">
        <v>80</v>
      </c>
      <c r="G4597" s="9">
        <v>934</v>
      </c>
      <c r="H4597" s="5" t="s">
        <v>20</v>
      </c>
      <c r="I4597" s="5" t="s">
        <v>10745</v>
      </c>
      <c r="J4597" s="12" t="str">
        <f>HYPERLINK("https://www.boe.es/gazeta/dias/1807/09/08/pdfs/GMD-1807-80.pdf#page=10","Abrir facsímil")</f>
        <v>Abrir facsímil</v>
      </c>
      <c r="K4597" s="15" t="s">
        <v>22</v>
      </c>
    </row>
    <row r="4598" spans="1:11" ht="42" customHeight="1">
      <c r="A4598" s="4" t="s">
        <v>10746</v>
      </c>
      <c r="B4598" s="5" t="s">
        <v>10747</v>
      </c>
      <c r="C4598" s="5" t="s">
        <v>69</v>
      </c>
      <c r="D4598" s="5" t="s">
        <v>70</v>
      </c>
      <c r="E4598" s="5" t="s">
        <v>71</v>
      </c>
      <c r="F4598" s="9">
        <v>35</v>
      </c>
      <c r="G4598" s="9" t="s">
        <v>72</v>
      </c>
      <c r="H4598" s="5" t="s">
        <v>20</v>
      </c>
      <c r="I4598" s="5" t="s">
        <v>10748</v>
      </c>
      <c r="J4598" s="12" t="str">
        <f>HYPERLINK("https://www.boe.es/gazeta/dias/1807/04/21/pdfs/C00001-00004.pdf#page=1","Abrir facsímil")</f>
        <v>Abrir facsímil</v>
      </c>
      <c r="K4598" s="15" t="s">
        <v>22</v>
      </c>
    </row>
    <row r="4599" spans="1:11" ht="42" customHeight="1">
      <c r="A4599" s="4" t="s">
        <v>10749</v>
      </c>
      <c r="B4599" s="5" t="s">
        <v>10750</v>
      </c>
      <c r="C4599" s="5" t="s">
        <v>34</v>
      </c>
      <c r="D4599" s="5" t="s">
        <v>35</v>
      </c>
      <c r="E4599" s="5" t="s">
        <v>266</v>
      </c>
      <c r="F4599" s="9">
        <v>67</v>
      </c>
      <c r="G4599" s="9">
        <v>776</v>
      </c>
      <c r="H4599" s="5" t="s">
        <v>20</v>
      </c>
      <c r="I4599" s="5" t="s">
        <v>10751</v>
      </c>
      <c r="J4599" s="12" t="str">
        <f>HYPERLINK("https://www.boe.es/gazeta/dias/1807/07/28/pdfs/GMD-1807-67.pdf#page=12","Abrir facsímil")</f>
        <v>Abrir facsímil</v>
      </c>
      <c r="K4599" s="15" t="s">
        <v>22</v>
      </c>
    </row>
    <row r="4600" spans="1:11" ht="42" customHeight="1">
      <c r="A4600" s="4" t="s">
        <v>10752</v>
      </c>
      <c r="B4600" s="5" t="s">
        <v>10752</v>
      </c>
      <c r="C4600" s="5" t="s">
        <v>28</v>
      </c>
      <c r="D4600" s="5" t="s">
        <v>29</v>
      </c>
      <c r="E4600" s="5" t="s">
        <v>444</v>
      </c>
      <c r="F4600" s="9">
        <v>95</v>
      </c>
      <c r="G4600" s="9">
        <v>1104</v>
      </c>
      <c r="H4600" s="5" t="s">
        <v>20</v>
      </c>
      <c r="I4600" s="5" t="s">
        <v>10753</v>
      </c>
      <c r="J4600" s="12" t="str">
        <f>HYPERLINK("https://www.boe.es/gazeta/dias/1807/10/23/pdfs/GMD-1807-95.pdf#page=8","Abrir facsímil")</f>
        <v>Abrir facsímil</v>
      </c>
      <c r="K4600" s="15" t="s">
        <v>22</v>
      </c>
    </row>
    <row r="4601" spans="1:11" ht="42" customHeight="1">
      <c r="A4601" s="4" t="s">
        <v>10754</v>
      </c>
      <c r="B4601" s="5" t="s">
        <v>10754</v>
      </c>
      <c r="C4601" s="5" t="s">
        <v>34</v>
      </c>
      <c r="D4601" s="5" t="s">
        <v>35</v>
      </c>
      <c r="E4601" s="5" t="s">
        <v>76</v>
      </c>
      <c r="F4601" s="9">
        <v>7</v>
      </c>
      <c r="G4601" s="9">
        <v>71</v>
      </c>
      <c r="H4601" s="5" t="s">
        <v>20</v>
      </c>
      <c r="I4601" s="5" t="s">
        <v>10755</v>
      </c>
      <c r="J4601" s="12" t="str">
        <f>HYPERLINK("https://www.boe.es/gazeta/dias/1807/01/20/pdfs/GMD-1807-7.pdf#page=3","Abrir facsímil")</f>
        <v>Abrir facsímil</v>
      </c>
      <c r="K4601" s="15" t="s">
        <v>22</v>
      </c>
    </row>
    <row r="4602" spans="1:11" ht="42" customHeight="1">
      <c r="A4602" s="4" t="s">
        <v>10756</v>
      </c>
      <c r="B4602" s="5" t="s">
        <v>10756</v>
      </c>
      <c r="C4602" s="5" t="s">
        <v>17</v>
      </c>
      <c r="D4602" s="5" t="s">
        <v>18</v>
      </c>
      <c r="E4602" s="5" t="s">
        <v>561</v>
      </c>
      <c r="F4602" s="9">
        <v>44</v>
      </c>
      <c r="G4602" s="9">
        <v>524</v>
      </c>
      <c r="H4602" s="5" t="s">
        <v>20</v>
      </c>
      <c r="I4602" s="5" t="s">
        <v>10757</v>
      </c>
      <c r="J4602" s="12" t="str">
        <f>HYPERLINK("https://www.boe.es/gazeta/dias/1807/05/22/pdfs/GMD-1807-44.pdf#page=6","Abrir facsímil")</f>
        <v>Abrir facsímil</v>
      </c>
      <c r="K4602" s="15" t="s">
        <v>22</v>
      </c>
    </row>
    <row r="4603" spans="1:11" ht="42" customHeight="1">
      <c r="A4603" s="4" t="s">
        <v>10758</v>
      </c>
      <c r="B4603" s="5" t="s">
        <v>10759</v>
      </c>
      <c r="C4603" s="5" t="s">
        <v>24</v>
      </c>
      <c r="D4603" s="5" t="s">
        <v>18</v>
      </c>
      <c r="E4603" s="5" t="s">
        <v>65</v>
      </c>
      <c r="F4603" s="9">
        <v>52</v>
      </c>
      <c r="G4603" s="9">
        <v>623</v>
      </c>
      <c r="H4603" s="5" t="s">
        <v>20</v>
      </c>
      <c r="I4603" s="5" t="s">
        <v>10760</v>
      </c>
      <c r="J4603" s="12" t="str">
        <f>HYPERLINK("https://www.boe.es/gazeta/dias/1807/06/19/pdfs/GMD-1807-52.pdf#page=13","Abrir facsímil")</f>
        <v>Abrir facsímil</v>
      </c>
      <c r="K4603" s="15" t="s">
        <v>22</v>
      </c>
    </row>
    <row r="4604" spans="1:11" ht="42" customHeight="1">
      <c r="A4604" s="4" t="s">
        <v>10761</v>
      </c>
      <c r="B4604" s="5" t="s">
        <v>10762</v>
      </c>
      <c r="C4604" s="5" t="s">
        <v>24</v>
      </c>
      <c r="D4604" s="5" t="s">
        <v>18</v>
      </c>
      <c r="E4604" s="5" t="s">
        <v>208</v>
      </c>
      <c r="F4604" s="9">
        <v>42</v>
      </c>
      <c r="G4604" s="9">
        <v>504</v>
      </c>
      <c r="H4604" s="5" t="s">
        <v>20</v>
      </c>
      <c r="I4604" s="5" t="s">
        <v>10763</v>
      </c>
      <c r="J4604" s="12" t="str">
        <f>HYPERLINK("https://www.boe.es/gazeta/dias/1807/05/15/pdfs/GMD-1807-42.pdf#page=10","Abrir facsímil")</f>
        <v>Abrir facsímil</v>
      </c>
      <c r="K4604" s="15" t="s">
        <v>22</v>
      </c>
    </row>
    <row r="4605" spans="1:11" ht="42" customHeight="1">
      <c r="A4605" s="4" t="s">
        <v>10764</v>
      </c>
      <c r="B4605" s="5" t="s">
        <v>10765</v>
      </c>
      <c r="C4605" s="5" t="s">
        <v>34</v>
      </c>
      <c r="D4605" s="5" t="s">
        <v>35</v>
      </c>
      <c r="E4605" s="5" t="s">
        <v>19</v>
      </c>
      <c r="F4605" s="9">
        <v>41</v>
      </c>
      <c r="G4605" s="9">
        <v>489</v>
      </c>
      <c r="H4605" s="5" t="s">
        <v>20</v>
      </c>
      <c r="I4605" s="5" t="s">
        <v>10766</v>
      </c>
      <c r="J4605" s="12" t="str">
        <f>HYPERLINK("https://www.boe.es/gazeta/dias/1807/05/12/pdfs/GMD-1807-41.pdf#page=7","Abrir facsímil")</f>
        <v>Abrir facsímil</v>
      </c>
      <c r="K4605" s="15" t="s">
        <v>22</v>
      </c>
    </row>
    <row r="4606" spans="1:11" ht="42" customHeight="1">
      <c r="A4606" s="4" t="s">
        <v>10767</v>
      </c>
      <c r="B4606" s="5" t="s">
        <v>10768</v>
      </c>
      <c r="C4606" s="5" t="s">
        <v>34</v>
      </c>
      <c r="D4606" s="5" t="s">
        <v>35</v>
      </c>
      <c r="E4606" s="5" t="s">
        <v>36</v>
      </c>
      <c r="F4606" s="9">
        <v>36</v>
      </c>
      <c r="G4606" s="9">
        <v>430</v>
      </c>
      <c r="H4606" s="5" t="s">
        <v>20</v>
      </c>
      <c r="I4606" s="5" t="s">
        <v>10769</v>
      </c>
      <c r="J4606" s="12" t="str">
        <f>HYPERLINK("https://www.boe.es/gazeta/dias/1807/04/24/pdfs/GMD-1807-36.pdf#page=10","Abrir facsímil")</f>
        <v>Abrir facsímil</v>
      </c>
      <c r="K4606" s="15" t="s">
        <v>22</v>
      </c>
    </row>
    <row r="4607" spans="1:11" ht="42" customHeight="1">
      <c r="A4607" s="4" t="s">
        <v>10770</v>
      </c>
      <c r="B4607" s="5" t="s">
        <v>10771</v>
      </c>
      <c r="C4607" s="5" t="s">
        <v>24</v>
      </c>
      <c r="D4607" s="5" t="s">
        <v>18</v>
      </c>
      <c r="E4607" s="5" t="s">
        <v>219</v>
      </c>
      <c r="F4607" s="9">
        <v>56</v>
      </c>
      <c r="G4607" s="9">
        <v>672</v>
      </c>
      <c r="H4607" s="5" t="s">
        <v>20</v>
      </c>
      <c r="I4607" s="5" t="s">
        <v>10772</v>
      </c>
      <c r="J4607" s="12" t="str">
        <f>HYPERLINK("https://www.boe.es/gazeta/dias/1807/07/03/pdfs/GMD-1807-56.pdf#page=10","Abrir facsímil")</f>
        <v>Abrir facsímil</v>
      </c>
      <c r="K4607" s="15" t="s">
        <v>22</v>
      </c>
    </row>
    <row r="4608" spans="1:11" ht="42" customHeight="1">
      <c r="A4608" s="4" t="s">
        <v>10773</v>
      </c>
      <c r="B4608" s="5" t="s">
        <v>10773</v>
      </c>
      <c r="C4608" s="5" t="s">
        <v>34</v>
      </c>
      <c r="D4608" s="5" t="s">
        <v>35</v>
      </c>
      <c r="E4608" s="5" t="s">
        <v>149</v>
      </c>
      <c r="F4608" s="9">
        <v>38</v>
      </c>
      <c r="G4608" s="9">
        <v>449</v>
      </c>
      <c r="H4608" s="5" t="s">
        <v>20</v>
      </c>
      <c r="I4608" s="5" t="s">
        <v>10774</v>
      </c>
      <c r="J4608" s="12" t="str">
        <f>HYPERLINK("https://www.boe.es/gazeta/dias/1807/05/01/pdfs/GMD-1807-38.pdf#page=5","Abrir facsímil")</f>
        <v>Abrir facsímil</v>
      </c>
      <c r="K4608" s="15" t="s">
        <v>22</v>
      </c>
    </row>
    <row r="4609" spans="1:11" ht="42" customHeight="1">
      <c r="A4609" s="4" t="s">
        <v>10775</v>
      </c>
      <c r="B4609" s="5" t="s">
        <v>10776</v>
      </c>
      <c r="C4609" s="5" t="s">
        <v>17</v>
      </c>
      <c r="D4609" s="5" t="s">
        <v>18</v>
      </c>
      <c r="E4609" s="5" t="s">
        <v>390</v>
      </c>
      <c r="F4609" s="9">
        <v>24</v>
      </c>
      <c r="G4609" s="9">
        <v>287</v>
      </c>
      <c r="H4609" s="5" t="s">
        <v>20</v>
      </c>
      <c r="I4609" s="5" t="s">
        <v>10777</v>
      </c>
      <c r="J4609" s="12" t="str">
        <f>HYPERLINK("https://www.boe.es/gazeta/dias/1807/03/13/pdfs/GMD-1807-24.pdf#page=11","Abrir facsímil")</f>
        <v>Abrir facsímil</v>
      </c>
      <c r="K4609" s="15" t="s">
        <v>22</v>
      </c>
    </row>
    <row r="4610" spans="1:11" ht="42" customHeight="1">
      <c r="A4610" s="4" t="s">
        <v>10778</v>
      </c>
      <c r="B4610" s="5" t="s">
        <v>10779</v>
      </c>
      <c r="C4610" s="5" t="s">
        <v>89</v>
      </c>
      <c r="D4610" s="5" t="s">
        <v>90</v>
      </c>
      <c r="E4610" s="5" t="s">
        <v>25</v>
      </c>
      <c r="F4610" s="9">
        <v>45</v>
      </c>
      <c r="G4610" s="9">
        <v>540</v>
      </c>
      <c r="H4610" s="5" t="s">
        <v>20</v>
      </c>
      <c r="I4610" s="5" t="s">
        <v>10780</v>
      </c>
      <c r="J4610" s="12" t="str">
        <f>HYPERLINK("https://www.boe.es/gazeta/dias/1807/05/26/pdfs/GMD-1807-45.pdf#page=10","Abrir facsímil")</f>
        <v>Abrir facsímil</v>
      </c>
      <c r="K4610" s="15" t="s">
        <v>22</v>
      </c>
    </row>
    <row r="4611" spans="1:11" ht="42" customHeight="1">
      <c r="A4611" s="4" t="s">
        <v>10781</v>
      </c>
      <c r="B4611" s="5" t="s">
        <v>10781</v>
      </c>
      <c r="C4611" s="5" t="s">
        <v>28</v>
      </c>
      <c r="D4611" s="5" t="s">
        <v>29</v>
      </c>
      <c r="E4611" s="5" t="s">
        <v>215</v>
      </c>
      <c r="F4611" s="9">
        <v>5</v>
      </c>
      <c r="G4611" s="9">
        <v>45</v>
      </c>
      <c r="H4611" s="5" t="s">
        <v>20</v>
      </c>
      <c r="I4611" s="5" t="s">
        <v>10782</v>
      </c>
      <c r="J4611" s="12" t="str">
        <f>HYPERLINK("https://www.boe.es/gazeta/dias/1807/01/16/pdfs/GMD-1807-5.pdf#page=1","Abrir facsímil")</f>
        <v>Abrir facsímil</v>
      </c>
      <c r="K4611" s="15" t="s">
        <v>22</v>
      </c>
    </row>
    <row r="4612" spans="1:11" ht="42" customHeight="1">
      <c r="A4612" s="4" t="s">
        <v>10781</v>
      </c>
      <c r="B4612" s="5" t="s">
        <v>10781</v>
      </c>
      <c r="C4612" s="5" t="s">
        <v>49</v>
      </c>
      <c r="D4612" s="5" t="s">
        <v>50</v>
      </c>
      <c r="E4612" s="5" t="s">
        <v>793</v>
      </c>
      <c r="F4612" s="9">
        <v>87</v>
      </c>
      <c r="G4612" s="9">
        <v>1004</v>
      </c>
      <c r="H4612" s="5" t="s">
        <v>20</v>
      </c>
      <c r="I4612" s="5" t="s">
        <v>10783</v>
      </c>
      <c r="J4612" s="12" t="str">
        <f>HYPERLINK("https://www.boe.es/gazeta/dias/1807/09/29/pdfs/GMD-1807-87.pdf#page=4","Abrir facsímil")</f>
        <v>Abrir facsímil</v>
      </c>
      <c r="K4612" s="15" t="s">
        <v>22</v>
      </c>
    </row>
    <row r="4613" spans="1:11" ht="42" customHeight="1">
      <c r="A4613" s="4" t="s">
        <v>10784</v>
      </c>
      <c r="B4613" s="5" t="s">
        <v>10785</v>
      </c>
      <c r="C4613" s="5" t="s">
        <v>28</v>
      </c>
      <c r="D4613" s="5" t="s">
        <v>29</v>
      </c>
      <c r="E4613" s="5" t="s">
        <v>530</v>
      </c>
      <c r="F4613" s="9">
        <v>79</v>
      </c>
      <c r="G4613" s="9">
        <v>917</v>
      </c>
      <c r="H4613" s="5" t="s">
        <v>20</v>
      </c>
      <c r="I4613" s="5" t="s">
        <v>10786</v>
      </c>
      <c r="J4613" s="12" t="str">
        <f>HYPERLINK("https://www.boe.es/gazeta/dias/1807/09/04/pdfs/GMD-1807-79.pdf#page=9","Abrir facsímil")</f>
        <v>Abrir facsímil</v>
      </c>
      <c r="K4613" s="15" t="s">
        <v>22</v>
      </c>
    </row>
    <row r="4614" spans="1:11" ht="42" customHeight="1">
      <c r="A4614" s="4" t="s">
        <v>10787</v>
      </c>
      <c r="B4614" s="5" t="s">
        <v>10787</v>
      </c>
      <c r="C4614" s="5" t="s">
        <v>28</v>
      </c>
      <c r="D4614" s="5" t="s">
        <v>29</v>
      </c>
      <c r="E4614" s="5" t="s">
        <v>266</v>
      </c>
      <c r="F4614" s="9">
        <v>67</v>
      </c>
      <c r="G4614" s="9">
        <v>771</v>
      </c>
      <c r="H4614" s="5" t="s">
        <v>20</v>
      </c>
      <c r="I4614" s="5" t="s">
        <v>10788</v>
      </c>
      <c r="J4614" s="12" t="str">
        <f>HYPERLINK("https://www.boe.es/gazeta/dias/1807/07/28/pdfs/GMD-1807-67.pdf#page=7","Abrir facsímil")</f>
        <v>Abrir facsímil</v>
      </c>
      <c r="K4614" s="15" t="s">
        <v>22</v>
      </c>
    </row>
    <row r="4615" spans="1:11" ht="42" customHeight="1">
      <c r="A4615" s="4" t="s">
        <v>10789</v>
      </c>
      <c r="B4615" s="5" t="s">
        <v>10789</v>
      </c>
      <c r="C4615" s="5" t="s">
        <v>34</v>
      </c>
      <c r="D4615" s="5" t="s">
        <v>35</v>
      </c>
      <c r="E4615" s="5" t="s">
        <v>104</v>
      </c>
      <c r="F4615" s="9">
        <v>25</v>
      </c>
      <c r="G4615" s="9">
        <v>301</v>
      </c>
      <c r="H4615" s="5" t="s">
        <v>20</v>
      </c>
      <c r="I4615" s="5" t="s">
        <v>10790</v>
      </c>
      <c r="J4615" s="12" t="str">
        <f>HYPERLINK("https://www.boe.es/gazeta/dias/1807/03/17/pdfs/GMD-1807-25.pdf#page=9","Abrir facsímil")</f>
        <v>Abrir facsímil</v>
      </c>
      <c r="K4615" s="15" t="s">
        <v>22</v>
      </c>
    </row>
    <row r="4616" spans="1:11" ht="42" customHeight="1">
      <c r="A4616" s="4" t="s">
        <v>10791</v>
      </c>
      <c r="B4616" s="5" t="s">
        <v>10792</v>
      </c>
      <c r="C4616" s="5" t="s">
        <v>34</v>
      </c>
      <c r="D4616" s="5" t="s">
        <v>35</v>
      </c>
      <c r="E4616" s="5" t="s">
        <v>464</v>
      </c>
      <c r="F4616" s="9">
        <v>18</v>
      </c>
      <c r="G4616" s="9">
        <v>207</v>
      </c>
      <c r="H4616" s="5" t="s">
        <v>20</v>
      </c>
      <c r="I4616" s="5" t="s">
        <v>10793</v>
      </c>
      <c r="J4616" s="12" t="str">
        <f>HYPERLINK("https://www.boe.es/gazeta/dias/1807/02/24/pdfs/GMD-1807-18.pdf#page=7","Abrir facsímil")</f>
        <v>Abrir facsímil</v>
      </c>
      <c r="K4616" s="15" t="s">
        <v>22</v>
      </c>
    </row>
    <row r="4617" spans="1:11" ht="42" customHeight="1">
      <c r="A4617" s="4" t="s">
        <v>10794</v>
      </c>
      <c r="B4617" s="5" t="s">
        <v>10795</v>
      </c>
      <c r="C4617" s="5" t="s">
        <v>89</v>
      </c>
      <c r="D4617" s="5" t="s">
        <v>90</v>
      </c>
      <c r="E4617" s="5" t="s">
        <v>101</v>
      </c>
      <c r="F4617" s="9">
        <v>23</v>
      </c>
      <c r="G4617" s="9">
        <v>271</v>
      </c>
      <c r="H4617" s="5" t="s">
        <v>20</v>
      </c>
      <c r="I4617" s="5" t="s">
        <v>10796</v>
      </c>
      <c r="J4617" s="12" t="str">
        <f>HYPERLINK("https://www.boe.es/gazeta/dias/1807/03/10/pdfs/GMD-1807-23.pdf#page=11","Abrir facsímil")</f>
        <v>Abrir facsímil</v>
      </c>
      <c r="K4617" s="15" t="s">
        <v>22</v>
      </c>
    </row>
    <row r="4618" spans="1:11" ht="42" customHeight="1">
      <c r="A4618" s="4" t="s">
        <v>10797</v>
      </c>
      <c r="B4618" s="5" t="s">
        <v>10798</v>
      </c>
      <c r="C4618" s="5" t="s">
        <v>28</v>
      </c>
      <c r="D4618" s="5" t="s">
        <v>29</v>
      </c>
      <c r="E4618" s="5" t="s">
        <v>101</v>
      </c>
      <c r="F4618" s="9">
        <v>23</v>
      </c>
      <c r="G4618" s="9">
        <v>271</v>
      </c>
      <c r="H4618" s="5" t="s">
        <v>20</v>
      </c>
      <c r="I4618" s="5" t="s">
        <v>10799</v>
      </c>
      <c r="J4618" s="12" t="str">
        <f>HYPERLINK("https://www.boe.es/gazeta/dias/1807/03/10/pdfs/GMD-1807-23.pdf#page=11","Abrir facsímil")</f>
        <v>Abrir facsímil</v>
      </c>
      <c r="K4618" s="15" t="s">
        <v>22</v>
      </c>
    </row>
    <row r="4619" spans="1:11" ht="42" customHeight="1">
      <c r="A4619" s="4" t="s">
        <v>10800</v>
      </c>
      <c r="B4619" s="5" t="s">
        <v>10801</v>
      </c>
      <c r="C4619" s="5" t="s">
        <v>34</v>
      </c>
      <c r="D4619" s="5" t="s">
        <v>35</v>
      </c>
      <c r="E4619" s="5" t="s">
        <v>62</v>
      </c>
      <c r="F4619" s="9">
        <v>68</v>
      </c>
      <c r="G4619" s="9">
        <v>784</v>
      </c>
      <c r="H4619" s="5" t="s">
        <v>20</v>
      </c>
      <c r="I4619" s="5" t="s">
        <v>10802</v>
      </c>
      <c r="J4619" s="12" t="str">
        <f>HYPERLINK("https://www.boe.es/gazeta/dias/1807/07/31/pdfs/GMD-1807-68.pdf#page=8","Abrir facsímil")</f>
        <v>Abrir facsímil</v>
      </c>
      <c r="K4619" s="15" t="s">
        <v>22</v>
      </c>
    </row>
    <row r="4620" spans="1:11" ht="42" customHeight="1">
      <c r="A4620" s="4" t="s">
        <v>10803</v>
      </c>
      <c r="B4620" s="5" t="s">
        <v>10803</v>
      </c>
      <c r="C4620" s="5" t="s">
        <v>89</v>
      </c>
      <c r="D4620" s="5" t="s">
        <v>90</v>
      </c>
      <c r="E4620" s="5" t="s">
        <v>282</v>
      </c>
      <c r="F4620" s="9">
        <v>16</v>
      </c>
      <c r="G4620" s="9">
        <v>188</v>
      </c>
      <c r="H4620" s="5" t="s">
        <v>20</v>
      </c>
      <c r="I4620" s="5" t="s">
        <v>10804</v>
      </c>
      <c r="J4620" s="12" t="str">
        <f>HYPERLINK("https://www.boe.es/gazeta/dias/1807/02/17/pdfs/GMD-1807-16.pdf#page=12","Abrir facsímil")</f>
        <v>Abrir facsímil</v>
      </c>
      <c r="K4620" s="15" t="s">
        <v>22</v>
      </c>
    </row>
    <row r="4621" spans="1:11" ht="42" customHeight="1">
      <c r="A4621" s="4" t="s">
        <v>10803</v>
      </c>
      <c r="B4621" s="5" t="s">
        <v>10803</v>
      </c>
      <c r="C4621" s="5" t="s">
        <v>89</v>
      </c>
      <c r="D4621" s="5" t="s">
        <v>90</v>
      </c>
      <c r="E4621" s="5" t="s">
        <v>581</v>
      </c>
      <c r="F4621" s="9">
        <v>71</v>
      </c>
      <c r="G4621" s="9">
        <v>819</v>
      </c>
      <c r="H4621" s="5" t="s">
        <v>20</v>
      </c>
      <c r="I4621" s="5" t="s">
        <v>10805</v>
      </c>
      <c r="J4621" s="12" t="str">
        <f>HYPERLINK("https://www.boe.es/gazeta/dias/1807/08/07/pdfs/GMD-1807-71.pdf#page=11","Abrir facsímil")</f>
        <v>Abrir facsímil</v>
      </c>
      <c r="K4621" s="15" t="s">
        <v>22</v>
      </c>
    </row>
    <row r="4622" spans="1:11" ht="42" customHeight="1">
      <c r="A4622" s="4" t="s">
        <v>10806</v>
      </c>
      <c r="B4622" s="5" t="s">
        <v>10806</v>
      </c>
      <c r="C4622" s="5" t="s">
        <v>28</v>
      </c>
      <c r="D4622" s="5" t="s">
        <v>29</v>
      </c>
      <c r="E4622" s="5" t="s">
        <v>471</v>
      </c>
      <c r="F4622" s="9">
        <v>51</v>
      </c>
      <c r="G4622" s="9">
        <v>606</v>
      </c>
      <c r="H4622" s="5" t="s">
        <v>20</v>
      </c>
      <c r="I4622" s="5" t="s">
        <v>10807</v>
      </c>
      <c r="J4622" s="12" t="str">
        <f>HYPERLINK("https://www.boe.es/gazeta/dias/1807/06/16/pdfs/GMD-1807-51.pdf#page=8","Abrir facsímil")</f>
        <v>Abrir facsímil</v>
      </c>
      <c r="K4622" s="15" t="s">
        <v>22</v>
      </c>
    </row>
    <row r="4623" spans="1:11" ht="42" customHeight="1">
      <c r="A4623" s="4" t="s">
        <v>10808</v>
      </c>
      <c r="B4623" s="5" t="s">
        <v>10809</v>
      </c>
      <c r="C4623" s="5" t="s">
        <v>34</v>
      </c>
      <c r="D4623" s="5" t="s">
        <v>35</v>
      </c>
      <c r="E4623" s="5" t="s">
        <v>186</v>
      </c>
      <c r="F4623" s="9">
        <v>72</v>
      </c>
      <c r="G4623" s="9">
        <v>835</v>
      </c>
      <c r="H4623" s="5" t="s">
        <v>20</v>
      </c>
      <c r="I4623" s="5" t="s">
        <v>10810</v>
      </c>
      <c r="J4623" s="12" t="str">
        <f>HYPERLINK("https://www.boe.es/gazeta/dias/1807/08/11/pdfs/GMD-1807-72.pdf#page=15","Abrir facsímil")</f>
        <v>Abrir facsímil</v>
      </c>
      <c r="K4623" s="15" t="s">
        <v>22</v>
      </c>
    </row>
    <row r="4624" spans="1:11" ht="42" customHeight="1">
      <c r="A4624" s="4" t="s">
        <v>10808</v>
      </c>
      <c r="B4624" s="5" t="s">
        <v>10809</v>
      </c>
      <c r="C4624" s="5" t="s">
        <v>34</v>
      </c>
      <c r="D4624" s="5" t="s">
        <v>35</v>
      </c>
      <c r="E4624" s="5" t="s">
        <v>156</v>
      </c>
      <c r="F4624" s="9">
        <v>74</v>
      </c>
      <c r="G4624" s="9">
        <v>859</v>
      </c>
      <c r="H4624" s="5" t="s">
        <v>20</v>
      </c>
      <c r="I4624" s="5" t="s">
        <v>10811</v>
      </c>
      <c r="J4624" s="12" t="str">
        <f>HYPERLINK("https://www.boe.es/gazeta/dias/1807/08/18/pdfs/GMD-1807-74.pdf#page=11","Abrir facsímil")</f>
        <v>Abrir facsímil</v>
      </c>
      <c r="K4624" s="15" t="s">
        <v>22</v>
      </c>
    </row>
    <row r="4625" spans="1:11" ht="42" customHeight="1">
      <c r="A4625" s="4" t="s">
        <v>10812</v>
      </c>
      <c r="B4625" s="5" t="s">
        <v>10813</v>
      </c>
      <c r="C4625" s="5" t="s">
        <v>34</v>
      </c>
      <c r="D4625" s="5" t="s">
        <v>35</v>
      </c>
      <c r="E4625" s="5" t="s">
        <v>62</v>
      </c>
      <c r="F4625" s="9">
        <v>68</v>
      </c>
      <c r="G4625" s="9">
        <v>784</v>
      </c>
      <c r="H4625" s="5" t="s">
        <v>20</v>
      </c>
      <c r="I4625" s="5" t="s">
        <v>10814</v>
      </c>
      <c r="J4625" s="12" t="str">
        <f>HYPERLINK("https://www.boe.es/gazeta/dias/1807/07/31/pdfs/GMD-1807-68.pdf#page=8","Abrir facsímil")</f>
        <v>Abrir facsímil</v>
      </c>
      <c r="K4625" s="15" t="s">
        <v>22</v>
      </c>
    </row>
    <row r="4626" spans="1:11" ht="42" customHeight="1">
      <c r="A4626" s="4" t="s">
        <v>10815</v>
      </c>
      <c r="B4626" s="5" t="s">
        <v>10816</v>
      </c>
      <c r="C4626" s="5" t="s">
        <v>24</v>
      </c>
      <c r="D4626" s="5" t="s">
        <v>18</v>
      </c>
      <c r="E4626" s="5" t="s">
        <v>595</v>
      </c>
      <c r="F4626" s="9">
        <v>59</v>
      </c>
      <c r="G4626" s="9">
        <v>705</v>
      </c>
      <c r="H4626" s="5" t="s">
        <v>20</v>
      </c>
      <c r="I4626" s="5" t="s">
        <v>10817</v>
      </c>
      <c r="J4626" s="12" t="str">
        <f>HYPERLINK("https://www.boe.es/gazeta/dias/1807/07/10/pdfs/GMD-1807-59.pdf#page=11","Abrir facsímil")</f>
        <v>Abrir facsímil</v>
      </c>
      <c r="K4626" s="15" t="s">
        <v>22</v>
      </c>
    </row>
    <row r="4627" spans="1:11" ht="42" customHeight="1">
      <c r="A4627" s="4" t="s">
        <v>10818</v>
      </c>
      <c r="B4627" s="5" t="s">
        <v>10819</v>
      </c>
      <c r="C4627" s="5" t="s">
        <v>24</v>
      </c>
      <c r="D4627" s="5" t="s">
        <v>18</v>
      </c>
      <c r="E4627" s="5" t="s">
        <v>1456</v>
      </c>
      <c r="F4627" s="9">
        <v>98</v>
      </c>
      <c r="G4627" s="9">
        <v>1142</v>
      </c>
      <c r="H4627" s="5" t="s">
        <v>20</v>
      </c>
      <c r="I4627" s="5" t="s">
        <v>10820</v>
      </c>
      <c r="J4627" s="12" t="str">
        <f>HYPERLINK("https://www.boe.es/gazeta/dias/1807/11/03/pdfs/GMD-1807-98.pdf#page=10","Abrir facsímil")</f>
        <v>Abrir facsímil</v>
      </c>
      <c r="K4627" s="15" t="s">
        <v>22</v>
      </c>
    </row>
    <row r="4628" spans="1:11" ht="42" customHeight="1">
      <c r="A4628" s="4" t="s">
        <v>10821</v>
      </c>
      <c r="B4628" s="5" t="s">
        <v>10822</v>
      </c>
      <c r="C4628" s="5" t="s">
        <v>34</v>
      </c>
      <c r="D4628" s="5" t="s">
        <v>35</v>
      </c>
      <c r="E4628" s="5" t="s">
        <v>575</v>
      </c>
      <c r="F4628" s="9">
        <v>115</v>
      </c>
      <c r="G4628" s="9">
        <v>1340</v>
      </c>
      <c r="H4628" s="5" t="s">
        <v>20</v>
      </c>
      <c r="I4628" s="5" t="s">
        <v>10823</v>
      </c>
      <c r="J4628" s="12" t="str">
        <f>HYPERLINK("https://www.boe.es/gazeta/dias/1807/12/29/pdfs/GMD-1807-115.pdf#page=8","Abrir facsímil")</f>
        <v>Abrir facsímil</v>
      </c>
      <c r="K4628" s="15" t="s">
        <v>22</v>
      </c>
    </row>
    <row r="4629" spans="1:11" ht="42" customHeight="1">
      <c r="A4629" s="4" t="s">
        <v>10824</v>
      </c>
      <c r="B4629" s="5" t="s">
        <v>10825</v>
      </c>
      <c r="C4629" s="5" t="s">
        <v>34</v>
      </c>
      <c r="D4629" s="5" t="s">
        <v>35</v>
      </c>
      <c r="E4629" s="5" t="s">
        <v>98</v>
      </c>
      <c r="F4629" s="9">
        <v>34</v>
      </c>
      <c r="G4629" s="9">
        <v>404</v>
      </c>
      <c r="H4629" s="5" t="s">
        <v>20</v>
      </c>
      <c r="I4629" s="5" t="s">
        <v>10826</v>
      </c>
      <c r="J4629" s="12" t="str">
        <f>HYPERLINK("https://www.boe.es/gazeta/dias/1807/04/17/pdfs/GMD-1807-34.pdf#page=8","Abrir facsímil")</f>
        <v>Abrir facsímil</v>
      </c>
      <c r="K4629" s="15" t="s">
        <v>22</v>
      </c>
    </row>
    <row r="4630" spans="1:11" ht="42" customHeight="1">
      <c r="A4630" s="4" t="s">
        <v>10827</v>
      </c>
      <c r="B4630" s="5" t="s">
        <v>10828</v>
      </c>
      <c r="C4630" s="5" t="s">
        <v>34</v>
      </c>
      <c r="D4630" s="5" t="s">
        <v>35</v>
      </c>
      <c r="E4630" s="5" t="s">
        <v>686</v>
      </c>
      <c r="F4630" s="9">
        <v>106</v>
      </c>
      <c r="G4630" s="9">
        <v>1238</v>
      </c>
      <c r="H4630" s="5" t="s">
        <v>20</v>
      </c>
      <c r="I4630" s="5" t="s">
        <v>10829</v>
      </c>
      <c r="J4630" s="12" t="str">
        <f>HYPERLINK("https://www.boe.es/gazeta/dias/1807/11/27/pdfs/GMD-1807-106.pdf#page=10","Abrir facsímil")</f>
        <v>Abrir facsímil</v>
      </c>
      <c r="K4630" s="15" t="s">
        <v>22</v>
      </c>
    </row>
    <row r="4631" spans="1:11" ht="42" customHeight="1">
      <c r="A4631" s="4" t="s">
        <v>10830</v>
      </c>
      <c r="B4631" s="5" t="s">
        <v>10830</v>
      </c>
      <c r="C4631" s="5" t="s">
        <v>34</v>
      </c>
      <c r="D4631" s="5" t="s">
        <v>35</v>
      </c>
      <c r="E4631" s="5" t="s">
        <v>793</v>
      </c>
      <c r="F4631" s="9">
        <v>87</v>
      </c>
      <c r="G4631" s="9">
        <v>1008</v>
      </c>
      <c r="H4631" s="5" t="s">
        <v>20</v>
      </c>
      <c r="I4631" s="5" t="s">
        <v>10831</v>
      </c>
      <c r="J4631" s="12" t="str">
        <f>HYPERLINK("https://www.boe.es/gazeta/dias/1807/09/29/pdfs/GMD-1807-87.pdf#page=8","Abrir facsímil")</f>
        <v>Abrir facsímil</v>
      </c>
      <c r="K4631" s="15" t="s">
        <v>22</v>
      </c>
    </row>
    <row r="4632" spans="1:11" ht="42" customHeight="1">
      <c r="A4632" s="4" t="s">
        <v>10832</v>
      </c>
      <c r="B4632" s="5" t="s">
        <v>10833</v>
      </c>
      <c r="C4632" s="5" t="s">
        <v>34</v>
      </c>
      <c r="D4632" s="5" t="s">
        <v>35</v>
      </c>
      <c r="E4632" s="5" t="s">
        <v>167</v>
      </c>
      <c r="F4632" s="9">
        <v>77</v>
      </c>
      <c r="G4632" s="9">
        <v>891</v>
      </c>
      <c r="H4632" s="5" t="s">
        <v>20</v>
      </c>
      <c r="I4632" s="5" t="s">
        <v>10834</v>
      </c>
      <c r="J4632" s="12" t="str">
        <f>HYPERLINK("https://www.boe.es/gazeta/dias/1807/08/28/pdfs/GMD-1807-77.pdf#page=7","Abrir facsímil")</f>
        <v>Abrir facsímil</v>
      </c>
      <c r="K4632" s="15" t="s">
        <v>22</v>
      </c>
    </row>
    <row r="4633" spans="1:11" ht="42" customHeight="1">
      <c r="A4633" s="4" t="s">
        <v>10832</v>
      </c>
      <c r="B4633" s="5" t="s">
        <v>10833</v>
      </c>
      <c r="C4633" s="5" t="s">
        <v>34</v>
      </c>
      <c r="D4633" s="5" t="s">
        <v>35</v>
      </c>
      <c r="E4633" s="5" t="s">
        <v>361</v>
      </c>
      <c r="F4633" s="9">
        <v>113</v>
      </c>
      <c r="G4633" s="9">
        <v>1322</v>
      </c>
      <c r="H4633" s="5" t="s">
        <v>20</v>
      </c>
      <c r="I4633" s="5" t="s">
        <v>10835</v>
      </c>
      <c r="J4633" s="12" t="str">
        <f>HYPERLINK("https://www.boe.es/gazeta/dias/1807/12/22/pdfs/GMD-1807-113.pdf#page=10","Abrir facsímil")</f>
        <v>Abrir facsímil</v>
      </c>
      <c r="K4633" s="15" t="s">
        <v>22</v>
      </c>
    </row>
    <row r="4634" spans="1:11" ht="42" customHeight="1">
      <c r="A4634" s="4" t="s">
        <v>10836</v>
      </c>
      <c r="B4634" s="5" t="s">
        <v>10837</v>
      </c>
      <c r="C4634" s="5" t="s">
        <v>28</v>
      </c>
      <c r="D4634" s="5" t="s">
        <v>29</v>
      </c>
      <c r="E4634" s="5" t="s">
        <v>98</v>
      </c>
      <c r="F4634" s="9">
        <v>34</v>
      </c>
      <c r="G4634" s="9">
        <v>404</v>
      </c>
      <c r="H4634" s="5" t="s">
        <v>20</v>
      </c>
      <c r="I4634" s="5" t="s">
        <v>10838</v>
      </c>
      <c r="J4634" s="12" t="str">
        <f>HYPERLINK("https://www.boe.es/gazeta/dias/1807/04/17/pdfs/GMD-1807-34.pdf#page=8","Abrir facsímil")</f>
        <v>Abrir facsímil</v>
      </c>
      <c r="K4634" s="15" t="s">
        <v>22</v>
      </c>
    </row>
    <row r="4635" spans="1:11" ht="42" customHeight="1">
      <c r="A4635" s="4" t="s">
        <v>10839</v>
      </c>
      <c r="B4635" s="5" t="s">
        <v>10840</v>
      </c>
      <c r="C4635" s="5" t="s">
        <v>28</v>
      </c>
      <c r="D4635" s="5" t="s">
        <v>29</v>
      </c>
      <c r="E4635" s="5" t="s">
        <v>301</v>
      </c>
      <c r="F4635" s="9">
        <v>89</v>
      </c>
      <c r="G4635" s="9">
        <v>1032</v>
      </c>
      <c r="H4635" s="5" t="s">
        <v>20</v>
      </c>
      <c r="I4635" s="5" t="s">
        <v>10841</v>
      </c>
      <c r="J4635" s="12" t="str">
        <f>HYPERLINK("https://www.boe.es/gazeta/dias/1807/10/02/pdfs/GMD-1807-89.pdf#page=12","Abrir facsímil")</f>
        <v>Abrir facsímil</v>
      </c>
      <c r="K4635" s="15" t="s">
        <v>22</v>
      </c>
    </row>
    <row r="4636" spans="1:11" ht="42" customHeight="1">
      <c r="A4636" s="4" t="s">
        <v>10842</v>
      </c>
      <c r="B4636" s="5" t="s">
        <v>10843</v>
      </c>
      <c r="C4636" s="5" t="s">
        <v>89</v>
      </c>
      <c r="D4636" s="5" t="s">
        <v>90</v>
      </c>
      <c r="E4636" s="5" t="s">
        <v>301</v>
      </c>
      <c r="F4636" s="9">
        <v>89</v>
      </c>
      <c r="G4636" s="9">
        <v>1032</v>
      </c>
      <c r="H4636" s="5" t="s">
        <v>20</v>
      </c>
      <c r="I4636" s="5" t="s">
        <v>10844</v>
      </c>
      <c r="J4636" s="12" t="str">
        <f>HYPERLINK("https://www.boe.es/gazeta/dias/1807/10/02/pdfs/GMD-1807-89.pdf#page=12","Abrir facsímil")</f>
        <v>Abrir facsímil</v>
      </c>
      <c r="K4636" s="15" t="s">
        <v>22</v>
      </c>
    </row>
    <row r="4637" spans="1:11" ht="42" customHeight="1">
      <c r="A4637" s="4" t="s">
        <v>10845</v>
      </c>
      <c r="B4637" s="5" t="s">
        <v>10846</v>
      </c>
      <c r="C4637" s="5" t="s">
        <v>17</v>
      </c>
      <c r="D4637" s="5" t="s">
        <v>18</v>
      </c>
      <c r="E4637" s="5" t="s">
        <v>567</v>
      </c>
      <c r="F4637" s="9">
        <v>55</v>
      </c>
      <c r="G4637" s="9">
        <v>659</v>
      </c>
      <c r="H4637" s="5" t="s">
        <v>20</v>
      </c>
      <c r="I4637" s="5" t="s">
        <v>10847</v>
      </c>
      <c r="J4637" s="12" t="str">
        <f>HYPERLINK("https://www.boe.es/gazeta/dias/1807/06/30/pdfs/GMD-1807-55.pdf#page=9","Abrir facsímil")</f>
        <v>Abrir facsímil</v>
      </c>
      <c r="K4637" s="15" t="s">
        <v>22</v>
      </c>
    </row>
    <row r="4638" spans="1:11" ht="42" customHeight="1">
      <c r="A4638" s="4" t="s">
        <v>10848</v>
      </c>
      <c r="B4638" s="5" t="s">
        <v>10849</v>
      </c>
      <c r="C4638" s="5" t="s">
        <v>69</v>
      </c>
      <c r="D4638" s="5" t="s">
        <v>70</v>
      </c>
      <c r="E4638" s="5" t="s">
        <v>71</v>
      </c>
      <c r="F4638" s="9">
        <v>35</v>
      </c>
      <c r="G4638" s="9" t="s">
        <v>1485</v>
      </c>
      <c r="H4638" s="5" t="s">
        <v>20</v>
      </c>
      <c r="I4638" s="5" t="s">
        <v>10850</v>
      </c>
      <c r="J4638" s="12" t="str">
        <f>HYPERLINK("https://www.boe.es/gazeta/dias/1807/04/21/pdfs/C00001-00004.pdf#page=4","Abrir facsímil")</f>
        <v>Abrir facsímil</v>
      </c>
      <c r="K4638" s="15" t="s">
        <v>22</v>
      </c>
    </row>
    <row r="4639" spans="1:11" ht="42" customHeight="1">
      <c r="A4639" s="4" t="s">
        <v>10851</v>
      </c>
      <c r="B4639" s="5" t="s">
        <v>10852</v>
      </c>
      <c r="C4639" s="5" t="s">
        <v>28</v>
      </c>
      <c r="D4639" s="5" t="s">
        <v>29</v>
      </c>
      <c r="E4639" s="5" t="s">
        <v>135</v>
      </c>
      <c r="F4639" s="9">
        <v>80</v>
      </c>
      <c r="G4639" s="9">
        <v>933</v>
      </c>
      <c r="H4639" s="5" t="s">
        <v>20</v>
      </c>
      <c r="I4639" s="5" t="s">
        <v>10853</v>
      </c>
      <c r="J4639" s="12" t="str">
        <f>HYPERLINK("https://www.boe.es/gazeta/dias/1807/09/08/pdfs/GMD-1807-80.pdf#page=9","Abrir facsímil")</f>
        <v>Abrir facsímil</v>
      </c>
      <c r="K4639" s="15" t="s">
        <v>22</v>
      </c>
    </row>
    <row r="4640" spans="1:11" ht="42" customHeight="1">
      <c r="A4640" s="4" t="s">
        <v>10854</v>
      </c>
      <c r="B4640" s="5" t="s">
        <v>10854</v>
      </c>
      <c r="C4640" s="5" t="s">
        <v>34</v>
      </c>
      <c r="D4640" s="5" t="s">
        <v>35</v>
      </c>
      <c r="E4640" s="5" t="s">
        <v>91</v>
      </c>
      <c r="F4640" s="9">
        <v>109</v>
      </c>
      <c r="G4640" s="9">
        <v>1266</v>
      </c>
      <c r="H4640" s="5" t="s">
        <v>20</v>
      </c>
      <c r="I4640" s="5" t="s">
        <v>10855</v>
      </c>
      <c r="J4640" s="12" t="str">
        <f>HYPERLINK("https://www.boe.es/gazeta/dias/1807/12/08/pdfs/GMD-1807-109.pdf#page=2","Abrir facsímil")</f>
        <v>Abrir facsímil</v>
      </c>
      <c r="K4640" s="15" t="s">
        <v>22</v>
      </c>
    </row>
    <row r="4641" spans="1:11" ht="42" customHeight="1">
      <c r="A4641" s="4" t="s">
        <v>10856</v>
      </c>
      <c r="B4641" s="5" t="s">
        <v>10856</v>
      </c>
      <c r="C4641" s="5" t="s">
        <v>24</v>
      </c>
      <c r="D4641" s="5" t="s">
        <v>18</v>
      </c>
      <c r="E4641" s="5" t="s">
        <v>654</v>
      </c>
      <c r="F4641" s="9">
        <v>94</v>
      </c>
      <c r="G4641" s="9">
        <v>1090</v>
      </c>
      <c r="H4641" s="5" t="s">
        <v>20</v>
      </c>
      <c r="I4641" s="5" t="s">
        <v>10857</v>
      </c>
      <c r="J4641" s="12" t="str">
        <f>HYPERLINK("https://www.boe.es/gazeta/dias/1807/10/20/pdfs/GMD-1807-94.pdf#page=6","Abrir facsímil")</f>
        <v>Abrir facsímil</v>
      </c>
      <c r="K4641" s="15" t="s">
        <v>22</v>
      </c>
    </row>
    <row r="4642" spans="1:11" ht="42" customHeight="1">
      <c r="A4642" s="4" t="s">
        <v>10858</v>
      </c>
      <c r="B4642" s="5" t="s">
        <v>10858</v>
      </c>
      <c r="C4642" s="5" t="s">
        <v>89</v>
      </c>
      <c r="D4642" s="5" t="s">
        <v>90</v>
      </c>
      <c r="E4642" s="5" t="s">
        <v>581</v>
      </c>
      <c r="F4642" s="9">
        <v>71</v>
      </c>
      <c r="G4642" s="9">
        <v>812</v>
      </c>
      <c r="H4642" s="5" t="s">
        <v>20</v>
      </c>
      <c r="I4642" s="5" t="s">
        <v>10859</v>
      </c>
      <c r="J4642" s="12" t="str">
        <f>HYPERLINK("https://www.boe.es/gazeta/dias/1807/08/07/pdfs/GMD-1807-71.pdf#page=4","Abrir facsímil")</f>
        <v>Abrir facsímil</v>
      </c>
      <c r="K4642" s="15" t="s">
        <v>22</v>
      </c>
    </row>
    <row r="4643" spans="1:11" ht="42" customHeight="1">
      <c r="A4643" s="4" t="s">
        <v>10860</v>
      </c>
      <c r="B4643" s="5" t="s">
        <v>10860</v>
      </c>
      <c r="C4643" s="5" t="s">
        <v>28</v>
      </c>
      <c r="D4643" s="5" t="s">
        <v>29</v>
      </c>
      <c r="E4643" s="5" t="s">
        <v>595</v>
      </c>
      <c r="F4643" s="9">
        <v>59</v>
      </c>
      <c r="G4643" s="9">
        <v>702</v>
      </c>
      <c r="H4643" s="5" t="s">
        <v>20</v>
      </c>
      <c r="I4643" s="5" t="s">
        <v>10861</v>
      </c>
      <c r="J4643" s="12" t="str">
        <f>HYPERLINK("https://www.boe.es/gazeta/dias/1807/07/10/pdfs/GMD-1807-59.pdf#page=8","Abrir facsímil")</f>
        <v>Abrir facsímil</v>
      </c>
      <c r="K4643" s="15" t="s">
        <v>22</v>
      </c>
    </row>
    <row r="4644" spans="1:11" ht="42" customHeight="1">
      <c r="A4644" s="4" t="s">
        <v>10862</v>
      </c>
      <c r="B4644" s="5" t="s">
        <v>10862</v>
      </c>
      <c r="C4644" s="5" t="s">
        <v>24</v>
      </c>
      <c r="D4644" s="5" t="s">
        <v>18</v>
      </c>
      <c r="E4644" s="5" t="s">
        <v>270</v>
      </c>
      <c r="F4644" s="9">
        <v>8</v>
      </c>
      <c r="G4644" s="9">
        <v>96</v>
      </c>
      <c r="H4644" s="5" t="s">
        <v>20</v>
      </c>
      <c r="I4644" s="5" t="s">
        <v>10863</v>
      </c>
      <c r="J4644" s="12" t="str">
        <f>HYPERLINK("https://www.boe.es/gazeta/dias/1807/01/23/pdfs/GMD-1807-8.pdf#page=12","Abrir facsímil")</f>
        <v>Abrir facsímil</v>
      </c>
      <c r="K4644" s="15" t="s">
        <v>22</v>
      </c>
    </row>
    <row r="4645" spans="1:11" ht="42" customHeight="1">
      <c r="A4645" s="4" t="s">
        <v>10864</v>
      </c>
      <c r="B4645" s="5" t="s">
        <v>10865</v>
      </c>
      <c r="C4645" s="5" t="s">
        <v>28</v>
      </c>
      <c r="D4645" s="5" t="s">
        <v>29</v>
      </c>
      <c r="E4645" s="5" t="s">
        <v>259</v>
      </c>
      <c r="F4645" s="9">
        <v>3</v>
      </c>
      <c r="G4645" s="9">
        <v>26</v>
      </c>
      <c r="H4645" s="5" t="s">
        <v>20</v>
      </c>
      <c r="I4645" s="5" t="s">
        <v>10866</v>
      </c>
      <c r="J4645" s="12" t="str">
        <f>HYPERLINK("https://www.boe.es/gazeta/dias/1807/01/09/pdfs/GMD-1807-3.pdf#page=6","Abrir facsímil")</f>
        <v>Abrir facsímil</v>
      </c>
      <c r="K4645" s="15" t="s">
        <v>22</v>
      </c>
    </row>
    <row r="4646" spans="1:11" ht="42" customHeight="1">
      <c r="A4646" s="4" t="s">
        <v>10867</v>
      </c>
      <c r="B4646" s="5" t="s">
        <v>10867</v>
      </c>
      <c r="C4646" s="5" t="s">
        <v>28</v>
      </c>
      <c r="D4646" s="5" t="s">
        <v>29</v>
      </c>
      <c r="E4646" s="5" t="s">
        <v>25</v>
      </c>
      <c r="F4646" s="9">
        <v>45</v>
      </c>
      <c r="G4646" s="9">
        <v>538</v>
      </c>
      <c r="H4646" s="5" t="s">
        <v>20</v>
      </c>
      <c r="I4646" s="5" t="s">
        <v>10868</v>
      </c>
      <c r="J4646" s="12" t="str">
        <f>HYPERLINK("https://www.boe.es/gazeta/dias/1807/05/26/pdfs/GMD-1807-45.pdf#page=8","Abrir facsímil")</f>
        <v>Abrir facsímil</v>
      </c>
      <c r="K4646" s="15" t="s">
        <v>22</v>
      </c>
    </row>
    <row r="4647" spans="1:11" ht="42" customHeight="1">
      <c r="A4647" s="4" t="s">
        <v>10869</v>
      </c>
      <c r="B4647" s="5" t="s">
        <v>10869</v>
      </c>
      <c r="C4647" s="5" t="s">
        <v>34</v>
      </c>
      <c r="D4647" s="5" t="s">
        <v>35</v>
      </c>
      <c r="E4647" s="5" t="s">
        <v>530</v>
      </c>
      <c r="F4647" s="9">
        <v>79</v>
      </c>
      <c r="G4647" s="9">
        <v>924</v>
      </c>
      <c r="H4647" s="5" t="s">
        <v>20</v>
      </c>
      <c r="I4647" s="5" t="s">
        <v>10870</v>
      </c>
      <c r="J4647" s="12" t="str">
        <f>HYPERLINK("https://www.boe.es/gazeta/dias/1807/09/04/pdfs/GMD-1807-79.pdf#page=16","Abrir facsímil")</f>
        <v>Abrir facsímil</v>
      </c>
      <c r="K4647" s="15" t="s">
        <v>22</v>
      </c>
    </row>
    <row r="4648" spans="1:11" ht="42" customHeight="1">
      <c r="A4648" s="4" t="s">
        <v>10871</v>
      </c>
      <c r="B4648" s="5" t="s">
        <v>10872</v>
      </c>
      <c r="C4648" s="5" t="s">
        <v>28</v>
      </c>
      <c r="D4648" s="5" t="s">
        <v>29</v>
      </c>
      <c r="E4648" s="5" t="s">
        <v>76</v>
      </c>
      <c r="F4648" s="9">
        <v>7</v>
      </c>
      <c r="G4648" s="9">
        <v>78</v>
      </c>
      <c r="H4648" s="5" t="s">
        <v>20</v>
      </c>
      <c r="I4648" s="5" t="s">
        <v>10873</v>
      </c>
      <c r="J4648" s="12" t="str">
        <f>HYPERLINK("https://www.boe.es/gazeta/dias/1807/01/20/pdfs/GMD-1807-7.pdf#page=10","Abrir facsímil")</f>
        <v>Abrir facsímil</v>
      </c>
      <c r="K4648" s="15" t="s">
        <v>22</v>
      </c>
    </row>
    <row r="4649" spans="1:11" ht="42" customHeight="1">
      <c r="A4649" s="4" t="s">
        <v>10871</v>
      </c>
      <c r="B4649" s="5" t="s">
        <v>10872</v>
      </c>
      <c r="C4649" s="5" t="s">
        <v>28</v>
      </c>
      <c r="D4649" s="5" t="s">
        <v>29</v>
      </c>
      <c r="E4649" s="5" t="s">
        <v>76</v>
      </c>
      <c r="F4649" s="9">
        <v>7</v>
      </c>
      <c r="G4649" s="9">
        <v>80</v>
      </c>
      <c r="H4649" s="5" t="s">
        <v>20</v>
      </c>
      <c r="I4649" s="5" t="s">
        <v>10874</v>
      </c>
      <c r="J4649" s="12" t="str">
        <f>HYPERLINK("https://www.boe.es/gazeta/dias/1807/01/20/pdfs/GMD-1807-7.pdf#page=12","Abrir facsímil")</f>
        <v>Abrir facsímil</v>
      </c>
      <c r="K4649" s="15" t="s">
        <v>22</v>
      </c>
    </row>
    <row r="4650" spans="1:11" ht="42" customHeight="1">
      <c r="A4650" s="4" t="s">
        <v>10875</v>
      </c>
      <c r="B4650" s="5" t="s">
        <v>10876</v>
      </c>
      <c r="C4650" s="5" t="s">
        <v>34</v>
      </c>
      <c r="D4650" s="5" t="s">
        <v>35</v>
      </c>
      <c r="E4650" s="5" t="s">
        <v>418</v>
      </c>
      <c r="F4650" s="9">
        <v>4</v>
      </c>
      <c r="G4650" s="9">
        <v>38</v>
      </c>
      <c r="H4650" s="5" t="s">
        <v>20</v>
      </c>
      <c r="I4650" s="5" t="s">
        <v>10877</v>
      </c>
      <c r="J4650" s="12" t="str">
        <f>HYPERLINK("https://www.boe.es/gazeta/dias/1807/01/13/pdfs/GMD-1807-4.pdf#page=6","Abrir facsímil")</f>
        <v>Abrir facsímil</v>
      </c>
      <c r="K4650" s="15" t="s">
        <v>22</v>
      </c>
    </row>
    <row r="4651" spans="1:11" ht="42" customHeight="1">
      <c r="A4651" s="4" t="s">
        <v>10878</v>
      </c>
      <c r="B4651" s="5" t="s">
        <v>10878</v>
      </c>
      <c r="C4651" s="5" t="s">
        <v>34</v>
      </c>
      <c r="D4651" s="5" t="s">
        <v>35</v>
      </c>
      <c r="E4651" s="5" t="s">
        <v>1354</v>
      </c>
      <c r="F4651" s="9">
        <v>83</v>
      </c>
      <c r="G4651" s="9">
        <v>969</v>
      </c>
      <c r="H4651" s="5" t="s">
        <v>20</v>
      </c>
      <c r="I4651" s="5" t="s">
        <v>10879</v>
      </c>
      <c r="J4651" s="12" t="str">
        <f>HYPERLINK("https://www.boe.es/gazeta/dias/1807/09/18/pdfs/GMD-1807-83.pdf#page=9","Abrir facsímil")</f>
        <v>Abrir facsímil</v>
      </c>
      <c r="K4651" s="15" t="s">
        <v>22</v>
      </c>
    </row>
    <row r="4652" spans="1:11" ht="42" customHeight="1">
      <c r="A4652" s="4" t="s">
        <v>10878</v>
      </c>
      <c r="B4652" s="5" t="s">
        <v>10878</v>
      </c>
      <c r="C4652" s="5" t="s">
        <v>17</v>
      </c>
      <c r="D4652" s="5" t="s">
        <v>18</v>
      </c>
      <c r="E4652" s="5" t="s">
        <v>441</v>
      </c>
      <c r="F4652" s="9">
        <v>92</v>
      </c>
      <c r="G4652" s="9">
        <v>1068</v>
      </c>
      <c r="H4652" s="5" t="s">
        <v>20</v>
      </c>
      <c r="I4652" s="5" t="s">
        <v>10880</v>
      </c>
      <c r="J4652" s="12" t="str">
        <f>HYPERLINK("https://www.boe.es/gazeta/dias/1807/10/13/pdfs/GMD-1807-92.pdf#page=8","Abrir facsímil")</f>
        <v>Abrir facsímil</v>
      </c>
      <c r="K4652" s="15" t="s">
        <v>22</v>
      </c>
    </row>
    <row r="4653" spans="1:11" ht="42" customHeight="1">
      <c r="A4653" s="4" t="s">
        <v>10881</v>
      </c>
      <c r="B4653" s="5" t="s">
        <v>10881</v>
      </c>
      <c r="C4653" s="5" t="s">
        <v>28</v>
      </c>
      <c r="D4653" s="5" t="s">
        <v>29</v>
      </c>
      <c r="E4653" s="5" t="s">
        <v>441</v>
      </c>
      <c r="F4653" s="9">
        <v>92</v>
      </c>
      <c r="G4653" s="9">
        <v>1069</v>
      </c>
      <c r="H4653" s="5" t="s">
        <v>20</v>
      </c>
      <c r="I4653" s="5" t="s">
        <v>10882</v>
      </c>
      <c r="J4653" s="12" t="str">
        <f>HYPERLINK("https://www.boe.es/gazeta/dias/1807/10/13/pdfs/GMD-1807-92.pdf#page=9","Abrir facsímil")</f>
        <v>Abrir facsímil</v>
      </c>
      <c r="K4653" s="15" t="s">
        <v>22</v>
      </c>
    </row>
    <row r="4654" spans="1:11" ht="42" customHeight="1">
      <c r="A4654" s="4" t="s">
        <v>10883</v>
      </c>
      <c r="B4654" s="5" t="s">
        <v>10883</v>
      </c>
      <c r="C4654" s="5" t="s">
        <v>34</v>
      </c>
      <c r="D4654" s="5" t="s">
        <v>35</v>
      </c>
      <c r="E4654" s="5" t="s">
        <v>76</v>
      </c>
      <c r="F4654" s="9">
        <v>7</v>
      </c>
      <c r="G4654" s="9">
        <v>74</v>
      </c>
      <c r="H4654" s="5" t="s">
        <v>20</v>
      </c>
      <c r="I4654" s="5" t="s">
        <v>10884</v>
      </c>
      <c r="J4654" s="12" t="str">
        <f>HYPERLINK("https://www.boe.es/gazeta/dias/1807/01/20/pdfs/GMD-1807-7.pdf#page=6","Abrir facsímil")</f>
        <v>Abrir facsímil</v>
      </c>
      <c r="K4654" s="15" t="s">
        <v>22</v>
      </c>
    </row>
    <row r="4655" spans="1:11" ht="42" customHeight="1">
      <c r="A4655" s="4" t="s">
        <v>10885</v>
      </c>
      <c r="B4655" s="5" t="s">
        <v>10885</v>
      </c>
      <c r="C4655" s="5" t="s">
        <v>34</v>
      </c>
      <c r="D4655" s="5" t="s">
        <v>35</v>
      </c>
      <c r="E4655" s="5" t="s">
        <v>507</v>
      </c>
      <c r="F4655" s="9">
        <v>48</v>
      </c>
      <c r="G4655" s="9">
        <v>573</v>
      </c>
      <c r="H4655" s="5" t="s">
        <v>20</v>
      </c>
      <c r="I4655" s="5" t="s">
        <v>10886</v>
      </c>
      <c r="J4655" s="12" t="str">
        <f>HYPERLINK("https://www.boe.es/gazeta/dias/1807/06/05/pdfs/GMD-1807-48.pdf#page=11","Abrir facsímil")</f>
        <v>Abrir facsímil</v>
      </c>
      <c r="K4655" s="15" t="s">
        <v>22</v>
      </c>
    </row>
    <row r="4656" spans="1:11" ht="42" customHeight="1">
      <c r="A4656" s="4" t="s">
        <v>10887</v>
      </c>
      <c r="B4656" s="5" t="s">
        <v>10887</v>
      </c>
      <c r="C4656" s="5" t="s">
        <v>24</v>
      </c>
      <c r="D4656" s="5" t="s">
        <v>18</v>
      </c>
      <c r="E4656" s="5" t="s">
        <v>346</v>
      </c>
      <c r="F4656" s="9">
        <v>21</v>
      </c>
      <c r="G4656" s="9">
        <v>246</v>
      </c>
      <c r="H4656" s="5" t="s">
        <v>20</v>
      </c>
      <c r="I4656" s="5" t="s">
        <v>10888</v>
      </c>
      <c r="J4656" s="12" t="str">
        <f>HYPERLINK("https://www.boe.es/gazeta/dias/1807/03/03/pdfs/GMD-1807-21.pdf#page=10","Abrir facsímil")</f>
        <v>Abrir facsímil</v>
      </c>
      <c r="K4656" s="15" t="s">
        <v>22</v>
      </c>
    </row>
    <row r="4657" spans="1:11" ht="42" customHeight="1">
      <c r="A4657" s="4" t="s">
        <v>10889</v>
      </c>
      <c r="B4657" s="5" t="s">
        <v>10890</v>
      </c>
      <c r="C4657" s="5" t="s">
        <v>28</v>
      </c>
      <c r="D4657" s="5" t="s">
        <v>29</v>
      </c>
      <c r="E4657" s="5" t="s">
        <v>418</v>
      </c>
      <c r="F4657" s="9">
        <v>4</v>
      </c>
      <c r="G4657" s="9">
        <v>44</v>
      </c>
      <c r="H4657" s="5" t="s">
        <v>20</v>
      </c>
      <c r="I4657" s="5" t="s">
        <v>10891</v>
      </c>
      <c r="J4657" s="12" t="str">
        <f>HYPERLINK("https://www.boe.es/gazeta/dias/1807/01/13/pdfs/GMD-1807-4.pdf#page=12","Abrir facsímil")</f>
        <v>Abrir facsímil</v>
      </c>
      <c r="K4657" s="15" t="s">
        <v>22</v>
      </c>
    </row>
    <row r="4658" spans="1:11" ht="42" customHeight="1">
      <c r="A4658" s="4" t="s">
        <v>10892</v>
      </c>
      <c r="B4658" s="5" t="s">
        <v>10892</v>
      </c>
      <c r="C4658" s="5" t="s">
        <v>24</v>
      </c>
      <c r="D4658" s="5" t="s">
        <v>18</v>
      </c>
      <c r="E4658" s="5" t="s">
        <v>179</v>
      </c>
      <c r="F4658" s="9">
        <v>100</v>
      </c>
      <c r="G4658" s="9">
        <v>1167</v>
      </c>
      <c r="H4658" s="5" t="s">
        <v>20</v>
      </c>
      <c r="I4658" s="5" t="s">
        <v>10893</v>
      </c>
      <c r="J4658" s="12" t="str">
        <f>HYPERLINK("https://www.boe.es/gazeta/dias/1807/11/10/pdfs/GMD-1807-100.pdf#page=11","Abrir facsímil")</f>
        <v>Abrir facsímil</v>
      </c>
      <c r="K4658" s="15" t="s">
        <v>22</v>
      </c>
    </row>
    <row r="4659" spans="1:11" ht="42" customHeight="1">
      <c r="A4659" s="4" t="s">
        <v>10894</v>
      </c>
      <c r="B4659" s="5" t="s">
        <v>10894</v>
      </c>
      <c r="C4659" s="5" t="s">
        <v>34</v>
      </c>
      <c r="D4659" s="5" t="s">
        <v>35</v>
      </c>
      <c r="E4659" s="5" t="s">
        <v>530</v>
      </c>
      <c r="F4659" s="9">
        <v>79</v>
      </c>
      <c r="G4659" s="9">
        <v>918</v>
      </c>
      <c r="H4659" s="5" t="s">
        <v>20</v>
      </c>
      <c r="I4659" s="5" t="s">
        <v>10895</v>
      </c>
      <c r="J4659" s="12" t="str">
        <f>HYPERLINK("https://www.boe.es/gazeta/dias/1807/09/04/pdfs/GMD-1807-79.pdf#page=10","Abrir facsímil")</f>
        <v>Abrir facsímil</v>
      </c>
      <c r="K4659" s="15" t="s">
        <v>22</v>
      </c>
    </row>
    <row r="4660" spans="1:11" ht="42" customHeight="1">
      <c r="A4660" s="4" t="s">
        <v>10896</v>
      </c>
      <c r="B4660" s="5" t="s">
        <v>10896</v>
      </c>
      <c r="C4660" s="5" t="s">
        <v>17</v>
      </c>
      <c r="D4660" s="5" t="s">
        <v>18</v>
      </c>
      <c r="E4660" s="5" t="s">
        <v>111</v>
      </c>
      <c r="F4660" s="9">
        <v>90</v>
      </c>
      <c r="G4660" s="9">
        <v>1044</v>
      </c>
      <c r="H4660" s="5" t="s">
        <v>20</v>
      </c>
      <c r="I4660" s="5" t="s">
        <v>10897</v>
      </c>
      <c r="J4660" s="12" t="str">
        <f>HYPERLINK("https://www.boe.es/gazeta/dias/1807/10/06/pdfs/GMD-1807-90.pdf#page=12","Abrir facsímil")</f>
        <v>Abrir facsímil</v>
      </c>
      <c r="K4660" s="15" t="s">
        <v>22</v>
      </c>
    </row>
    <row r="4661" spans="1:11" ht="42" customHeight="1">
      <c r="A4661" s="4" t="s">
        <v>10898</v>
      </c>
      <c r="B4661" s="5" t="s">
        <v>10899</v>
      </c>
      <c r="C4661" s="5" t="s">
        <v>24</v>
      </c>
      <c r="D4661" s="5" t="s">
        <v>18</v>
      </c>
      <c r="E4661" s="5" t="s">
        <v>208</v>
      </c>
      <c r="F4661" s="9">
        <v>42</v>
      </c>
      <c r="G4661" s="9">
        <v>504</v>
      </c>
      <c r="H4661" s="5" t="s">
        <v>20</v>
      </c>
      <c r="I4661" s="5" t="s">
        <v>10900</v>
      </c>
      <c r="J4661" s="12" t="str">
        <f>HYPERLINK("https://www.boe.es/gazeta/dias/1807/05/15/pdfs/GMD-1807-42.pdf#page=10","Abrir facsímil")</f>
        <v>Abrir facsímil</v>
      </c>
      <c r="K4661" s="15" t="s">
        <v>22</v>
      </c>
    </row>
    <row r="4662" spans="1:11" ht="42" customHeight="1">
      <c r="A4662" s="4" t="s">
        <v>10901</v>
      </c>
      <c r="B4662" s="5" t="s">
        <v>10902</v>
      </c>
      <c r="C4662" s="5" t="s">
        <v>24</v>
      </c>
      <c r="D4662" s="5" t="s">
        <v>18</v>
      </c>
      <c r="E4662" s="5" t="s">
        <v>441</v>
      </c>
      <c r="F4662" s="9">
        <v>92</v>
      </c>
      <c r="G4662" s="9">
        <v>1070</v>
      </c>
      <c r="H4662" s="5" t="s">
        <v>20</v>
      </c>
      <c r="I4662" s="5" t="s">
        <v>10903</v>
      </c>
      <c r="J4662" s="12" t="str">
        <f>HYPERLINK("https://www.boe.es/gazeta/dias/1807/10/13/pdfs/GMD-1807-92.pdf#page=10","Abrir facsímil")</f>
        <v>Abrir facsímil</v>
      </c>
      <c r="K4662" s="15" t="s">
        <v>22</v>
      </c>
    </row>
    <row r="4663" spans="1:11" ht="42" customHeight="1">
      <c r="A4663" s="4" t="s">
        <v>10904</v>
      </c>
      <c r="B4663" s="5" t="s">
        <v>10904</v>
      </c>
      <c r="C4663" s="5" t="s">
        <v>24</v>
      </c>
      <c r="D4663" s="5" t="s">
        <v>18</v>
      </c>
      <c r="E4663" s="5" t="s">
        <v>149</v>
      </c>
      <c r="F4663" s="9">
        <v>38</v>
      </c>
      <c r="G4663" s="9">
        <v>454</v>
      </c>
      <c r="H4663" s="5" t="s">
        <v>20</v>
      </c>
      <c r="I4663" s="5" t="s">
        <v>10905</v>
      </c>
      <c r="J4663" s="12" t="str">
        <f>HYPERLINK("https://www.boe.es/gazeta/dias/1807/05/01/pdfs/GMD-1807-38.pdf#page=10","Abrir facsímil")</f>
        <v>Abrir facsímil</v>
      </c>
      <c r="K4663" s="15" t="s">
        <v>22</v>
      </c>
    </row>
    <row r="4664" spans="1:11" ht="42" customHeight="1">
      <c r="A4664" s="4" t="s">
        <v>10906</v>
      </c>
      <c r="B4664" s="5" t="s">
        <v>10907</v>
      </c>
      <c r="C4664" s="5" t="s">
        <v>34</v>
      </c>
      <c r="D4664" s="5" t="s">
        <v>35</v>
      </c>
      <c r="E4664" s="5" t="s">
        <v>98</v>
      </c>
      <c r="F4664" s="9">
        <v>34</v>
      </c>
      <c r="G4664" s="9">
        <v>406</v>
      </c>
      <c r="H4664" s="5" t="s">
        <v>20</v>
      </c>
      <c r="I4664" s="5" t="s">
        <v>10908</v>
      </c>
      <c r="J4664" s="12" t="str">
        <f>HYPERLINK("https://www.boe.es/gazeta/dias/1807/04/17/pdfs/GMD-1807-34.pdf#page=10","Abrir facsímil")</f>
        <v>Abrir facsímil</v>
      </c>
      <c r="K4664" s="15" t="s">
        <v>22</v>
      </c>
    </row>
    <row r="4665" spans="1:11" ht="42" customHeight="1">
      <c r="A4665" s="4" t="s">
        <v>10909</v>
      </c>
      <c r="B4665" s="5" t="s">
        <v>10910</v>
      </c>
      <c r="C4665" s="5" t="s">
        <v>34</v>
      </c>
      <c r="D4665" s="5" t="s">
        <v>35</v>
      </c>
      <c r="E4665" s="5" t="s">
        <v>91</v>
      </c>
      <c r="F4665" s="9">
        <v>109</v>
      </c>
      <c r="G4665" s="9">
        <v>1273</v>
      </c>
      <c r="H4665" s="5" t="s">
        <v>20</v>
      </c>
      <c r="I4665" s="5" t="s">
        <v>10911</v>
      </c>
      <c r="J4665" s="12" t="str">
        <f>HYPERLINK("https://www.boe.es/gazeta/dias/1807/12/08/pdfs/GMD-1807-109.pdf#page=9","Abrir facsímil")</f>
        <v>Abrir facsímil</v>
      </c>
      <c r="K4665" s="15" t="s">
        <v>22</v>
      </c>
    </row>
    <row r="4666" spans="1:11" ht="42" customHeight="1">
      <c r="A4666" s="4" t="s">
        <v>10912</v>
      </c>
      <c r="B4666" s="5" t="s">
        <v>10912</v>
      </c>
      <c r="C4666" s="5" t="s">
        <v>34</v>
      </c>
      <c r="D4666" s="5" t="s">
        <v>35</v>
      </c>
      <c r="E4666" s="5" t="s">
        <v>36</v>
      </c>
      <c r="F4666" s="9">
        <v>36</v>
      </c>
      <c r="G4666" s="9">
        <v>432</v>
      </c>
      <c r="H4666" s="5" t="s">
        <v>20</v>
      </c>
      <c r="I4666" s="5" t="s">
        <v>10913</v>
      </c>
      <c r="J4666" s="12" t="str">
        <f>HYPERLINK("https://www.boe.es/gazeta/dias/1807/04/24/pdfs/GMD-1807-36.pdf#page=12","Abrir facsímil")</f>
        <v>Abrir facsímil</v>
      </c>
      <c r="K4666" s="15" t="s">
        <v>22</v>
      </c>
    </row>
    <row r="4667" spans="1:11" ht="42" customHeight="1">
      <c r="A4667" s="4" t="s">
        <v>10914</v>
      </c>
      <c r="B4667" s="5" t="s">
        <v>10914</v>
      </c>
      <c r="C4667" s="5" t="s">
        <v>34</v>
      </c>
      <c r="D4667" s="5" t="s">
        <v>35</v>
      </c>
      <c r="E4667" s="5" t="s">
        <v>104</v>
      </c>
      <c r="F4667" s="9">
        <v>25</v>
      </c>
      <c r="G4667" s="9">
        <v>303</v>
      </c>
      <c r="H4667" s="5" t="s">
        <v>20</v>
      </c>
      <c r="I4667" s="5" t="s">
        <v>10915</v>
      </c>
      <c r="J4667" s="12" t="str">
        <f>HYPERLINK("https://www.boe.es/gazeta/dias/1807/03/17/pdfs/GMD-1807-25.pdf#page=11","Abrir facsímil")</f>
        <v>Abrir facsímil</v>
      </c>
      <c r="K4667" s="15" t="s">
        <v>22</v>
      </c>
    </row>
    <row r="4668" spans="1:11" ht="42" customHeight="1">
      <c r="A4668" s="4" t="s">
        <v>10914</v>
      </c>
      <c r="B4668" s="5" t="s">
        <v>10914</v>
      </c>
      <c r="C4668" s="5" t="s">
        <v>34</v>
      </c>
      <c r="D4668" s="5" t="s">
        <v>35</v>
      </c>
      <c r="E4668" s="5" t="s">
        <v>1177</v>
      </c>
      <c r="F4668" s="9">
        <v>101</v>
      </c>
      <c r="G4668" s="9">
        <v>1179</v>
      </c>
      <c r="H4668" s="5" t="s">
        <v>20</v>
      </c>
      <c r="I4668" s="5" t="s">
        <v>10916</v>
      </c>
      <c r="J4668" s="12" t="str">
        <f>HYPERLINK("https://www.boe.es/gazeta/dias/1807/11/13/pdfs/GMD-1807-101.pdf#page=11","Abrir facsímil")</f>
        <v>Abrir facsímil</v>
      </c>
      <c r="K4668" s="15" t="s">
        <v>22</v>
      </c>
    </row>
    <row r="4669" spans="1:11" ht="42" customHeight="1">
      <c r="A4669" s="4" t="s">
        <v>10917</v>
      </c>
      <c r="B4669" s="5" t="s">
        <v>10917</v>
      </c>
      <c r="C4669" s="5" t="s">
        <v>89</v>
      </c>
      <c r="D4669" s="5" t="s">
        <v>90</v>
      </c>
      <c r="E4669" s="5" t="s">
        <v>120</v>
      </c>
      <c r="F4669" s="9">
        <v>10</v>
      </c>
      <c r="G4669" s="9">
        <v>114</v>
      </c>
      <c r="H4669" s="5" t="s">
        <v>20</v>
      </c>
      <c r="I4669" s="5" t="s">
        <v>10918</v>
      </c>
      <c r="J4669" s="12" t="str">
        <f>HYPERLINK("https://www.boe.es/gazeta/dias/1807/01/27/pdfs/GMD-1807-10.pdf#page=10","Abrir facsímil")</f>
        <v>Abrir facsímil</v>
      </c>
      <c r="K4669" s="15" t="s">
        <v>22</v>
      </c>
    </row>
    <row r="4670" spans="1:11" ht="42" customHeight="1">
      <c r="A4670" s="4" t="s">
        <v>10917</v>
      </c>
      <c r="B4670" s="5" t="s">
        <v>10917</v>
      </c>
      <c r="C4670" s="5" t="s">
        <v>34</v>
      </c>
      <c r="D4670" s="5" t="s">
        <v>35</v>
      </c>
      <c r="E4670" s="5" t="s">
        <v>149</v>
      </c>
      <c r="F4670" s="9">
        <v>38</v>
      </c>
      <c r="G4670" s="9">
        <v>453</v>
      </c>
      <c r="H4670" s="5" t="s">
        <v>20</v>
      </c>
      <c r="I4670" s="5" t="s">
        <v>10919</v>
      </c>
      <c r="J4670" s="12" t="str">
        <f>HYPERLINK("https://www.boe.es/gazeta/dias/1807/05/01/pdfs/GMD-1807-38.pdf#page=9","Abrir facsímil")</f>
        <v>Abrir facsímil</v>
      </c>
      <c r="K4670" s="15" t="s">
        <v>22</v>
      </c>
    </row>
    <row r="4671" spans="1:11" ht="42" customHeight="1">
      <c r="A4671" s="4" t="s">
        <v>10920</v>
      </c>
      <c r="B4671" s="5" t="s">
        <v>10920</v>
      </c>
      <c r="C4671" s="5" t="s">
        <v>34</v>
      </c>
      <c r="D4671" s="5" t="s">
        <v>35</v>
      </c>
      <c r="E4671" s="5" t="s">
        <v>30</v>
      </c>
      <c r="F4671" s="9">
        <v>13</v>
      </c>
      <c r="G4671" s="9">
        <v>151</v>
      </c>
      <c r="H4671" s="5" t="s">
        <v>20</v>
      </c>
      <c r="I4671" s="5" t="s">
        <v>10921</v>
      </c>
      <c r="J4671" s="12" t="str">
        <f>HYPERLINK("https://www.boe.es/gazeta/dias/1807/02/06/pdfs/GMD-1807-13.pdf#page=11","Abrir facsímil")</f>
        <v>Abrir facsímil</v>
      </c>
      <c r="K4671" s="15" t="s">
        <v>22</v>
      </c>
    </row>
    <row r="4672" spans="1:11" ht="42" customHeight="1">
      <c r="A4672" s="4" t="s">
        <v>10922</v>
      </c>
      <c r="B4672" s="5" t="s">
        <v>10922</v>
      </c>
      <c r="C4672" s="5" t="s">
        <v>34</v>
      </c>
      <c r="D4672" s="5" t="s">
        <v>35</v>
      </c>
      <c r="E4672" s="5" t="s">
        <v>139</v>
      </c>
      <c r="F4672" s="9">
        <v>110</v>
      </c>
      <c r="G4672" s="9">
        <v>1285</v>
      </c>
      <c r="H4672" s="5" t="s">
        <v>20</v>
      </c>
      <c r="I4672" s="5" t="s">
        <v>10923</v>
      </c>
      <c r="J4672" s="12" t="str">
        <f>HYPERLINK("https://www.boe.es/gazeta/dias/1807/12/11/pdfs/GMD-1807-110.pdf#page=9","Abrir facsímil")</f>
        <v>Abrir facsímil</v>
      </c>
      <c r="K4672" s="15" t="s">
        <v>22</v>
      </c>
    </row>
    <row r="4673" spans="1:11" ht="42" customHeight="1">
      <c r="A4673" s="4" t="s">
        <v>10924</v>
      </c>
      <c r="B4673" s="5" t="s">
        <v>10924</v>
      </c>
      <c r="C4673" s="5" t="s">
        <v>34</v>
      </c>
      <c r="D4673" s="5" t="s">
        <v>35</v>
      </c>
      <c r="E4673" s="5" t="s">
        <v>1934</v>
      </c>
      <c r="F4673" s="9">
        <v>2</v>
      </c>
      <c r="G4673" s="9">
        <v>20</v>
      </c>
      <c r="H4673" s="5" t="s">
        <v>20</v>
      </c>
      <c r="I4673" s="5" t="s">
        <v>10925</v>
      </c>
      <c r="J4673" s="12" t="str">
        <f>HYPERLINK("https://www.boe.es/gazeta/dias/1807/01/06/pdfs/GMD-1807-2.pdf#page=8","Abrir facsímil")</f>
        <v>Abrir facsímil</v>
      </c>
      <c r="K4673" s="15" t="s">
        <v>22</v>
      </c>
    </row>
    <row r="4674" spans="1:11" ht="42" customHeight="1">
      <c r="A4674" s="4" t="s">
        <v>10924</v>
      </c>
      <c r="B4674" s="5" t="s">
        <v>10924</v>
      </c>
      <c r="C4674" s="5" t="s">
        <v>34</v>
      </c>
      <c r="D4674" s="5" t="s">
        <v>35</v>
      </c>
      <c r="E4674" s="5" t="s">
        <v>259</v>
      </c>
      <c r="F4674" s="9">
        <v>3</v>
      </c>
      <c r="G4674" s="9">
        <v>31</v>
      </c>
      <c r="H4674" s="5" t="s">
        <v>20</v>
      </c>
      <c r="I4674" s="5" t="s">
        <v>10926</v>
      </c>
      <c r="J4674" s="12" t="str">
        <f>HYPERLINK("https://www.boe.es/gazeta/dias/1807/01/09/pdfs/GMD-1807-3.pdf#page=11","Abrir facsímil")</f>
        <v>Abrir facsímil</v>
      </c>
      <c r="K4674" s="15" t="s">
        <v>22</v>
      </c>
    </row>
    <row r="4675" spans="1:11" ht="42" customHeight="1">
      <c r="A4675" s="4" t="s">
        <v>10924</v>
      </c>
      <c r="B4675" s="5" t="s">
        <v>10924</v>
      </c>
      <c r="C4675" s="5" t="s">
        <v>34</v>
      </c>
      <c r="D4675" s="5" t="s">
        <v>35</v>
      </c>
      <c r="E4675" s="5" t="s">
        <v>215</v>
      </c>
      <c r="F4675" s="9">
        <v>5</v>
      </c>
      <c r="G4675" s="9">
        <v>55</v>
      </c>
      <c r="H4675" s="5" t="s">
        <v>20</v>
      </c>
      <c r="I4675" s="5" t="s">
        <v>10927</v>
      </c>
      <c r="J4675" s="12" t="str">
        <f>HYPERLINK("https://www.boe.es/gazeta/dias/1807/01/16/pdfs/GMD-1807-5.pdf#page=11","Abrir facsímil")</f>
        <v>Abrir facsímil</v>
      </c>
      <c r="K4675" s="15" t="s">
        <v>22</v>
      </c>
    </row>
    <row r="4676" spans="1:11" ht="42" customHeight="1">
      <c r="A4676" s="4" t="s">
        <v>10924</v>
      </c>
      <c r="B4676" s="5" t="s">
        <v>10924</v>
      </c>
      <c r="C4676" s="5" t="s">
        <v>34</v>
      </c>
      <c r="D4676" s="5" t="s">
        <v>35</v>
      </c>
      <c r="E4676" s="5" t="s">
        <v>30</v>
      </c>
      <c r="F4676" s="9">
        <v>13</v>
      </c>
      <c r="G4676" s="9">
        <v>151</v>
      </c>
      <c r="H4676" s="5" t="s">
        <v>20</v>
      </c>
      <c r="I4676" s="5" t="s">
        <v>10928</v>
      </c>
      <c r="J4676" s="12" t="str">
        <f>HYPERLINK("https://www.boe.es/gazeta/dias/1807/02/06/pdfs/GMD-1807-13.pdf#page=11","Abrir facsímil")</f>
        <v>Abrir facsímil</v>
      </c>
      <c r="K4676" s="15" t="s">
        <v>22</v>
      </c>
    </row>
    <row r="4677" spans="1:11" ht="42" customHeight="1">
      <c r="A4677" s="4" t="s">
        <v>10924</v>
      </c>
      <c r="B4677" s="5" t="s">
        <v>10924</v>
      </c>
      <c r="C4677" s="5" t="s">
        <v>34</v>
      </c>
      <c r="D4677" s="5" t="s">
        <v>35</v>
      </c>
      <c r="E4677" s="5" t="s">
        <v>282</v>
      </c>
      <c r="F4677" s="9">
        <v>16</v>
      </c>
      <c r="G4677" s="9">
        <v>187</v>
      </c>
      <c r="H4677" s="5" t="s">
        <v>20</v>
      </c>
      <c r="I4677" s="5" t="s">
        <v>10929</v>
      </c>
      <c r="J4677" s="12" t="str">
        <f>HYPERLINK("https://www.boe.es/gazeta/dias/1807/02/17/pdfs/GMD-1807-16.pdf#page=11","Abrir facsímil")</f>
        <v>Abrir facsímil</v>
      </c>
      <c r="K4677" s="15" t="s">
        <v>22</v>
      </c>
    </row>
    <row r="4678" spans="1:11" ht="42" customHeight="1">
      <c r="A4678" s="4" t="s">
        <v>10924</v>
      </c>
      <c r="B4678" s="5" t="s">
        <v>10924</v>
      </c>
      <c r="C4678" s="5" t="s">
        <v>34</v>
      </c>
      <c r="D4678" s="5" t="s">
        <v>35</v>
      </c>
      <c r="E4678" s="5" t="s">
        <v>464</v>
      </c>
      <c r="F4678" s="9">
        <v>18</v>
      </c>
      <c r="G4678" s="9">
        <v>215</v>
      </c>
      <c r="H4678" s="5" t="s">
        <v>20</v>
      </c>
      <c r="I4678" s="5" t="s">
        <v>10930</v>
      </c>
      <c r="J4678" s="12" t="str">
        <f>HYPERLINK("https://www.boe.es/gazeta/dias/1807/02/24/pdfs/GMD-1807-18.pdf#page=15","Abrir facsímil")</f>
        <v>Abrir facsímil</v>
      </c>
      <c r="K4678" s="15" t="s">
        <v>22</v>
      </c>
    </row>
    <row r="4679" spans="1:11" ht="42" customHeight="1">
      <c r="A4679" s="4" t="s">
        <v>10924</v>
      </c>
      <c r="B4679" s="5" t="s">
        <v>10924</v>
      </c>
      <c r="C4679" s="5" t="s">
        <v>34</v>
      </c>
      <c r="D4679" s="5" t="s">
        <v>35</v>
      </c>
      <c r="E4679" s="5" t="s">
        <v>376</v>
      </c>
      <c r="F4679" s="9">
        <v>19</v>
      </c>
      <c r="G4679" s="9">
        <v>226</v>
      </c>
      <c r="H4679" s="5" t="s">
        <v>20</v>
      </c>
      <c r="I4679" s="5" t="s">
        <v>10931</v>
      </c>
      <c r="J4679" s="12" t="str">
        <f>HYPERLINK("https://www.boe.es/gazeta/dias/1807/02/27/pdfs/GMD-1807-19.pdf#page=10","Abrir facsímil")</f>
        <v>Abrir facsímil</v>
      </c>
      <c r="K4679" s="15" t="s">
        <v>22</v>
      </c>
    </row>
    <row r="4680" spans="1:11" ht="42" customHeight="1">
      <c r="A4680" s="4" t="s">
        <v>10924</v>
      </c>
      <c r="B4680" s="5" t="s">
        <v>10924</v>
      </c>
      <c r="C4680" s="5" t="s">
        <v>34</v>
      </c>
      <c r="D4680" s="5" t="s">
        <v>35</v>
      </c>
      <c r="E4680" s="5" t="s">
        <v>94</v>
      </c>
      <c r="F4680" s="9">
        <v>22</v>
      </c>
      <c r="G4680" s="9">
        <v>259</v>
      </c>
      <c r="H4680" s="5" t="s">
        <v>20</v>
      </c>
      <c r="I4680" s="5" t="s">
        <v>10932</v>
      </c>
      <c r="J4680" s="12" t="str">
        <f>HYPERLINK("https://www.boe.es/gazeta/dias/1807/03/06/pdfs/GMD-1807-22.pdf#page=11","Abrir facsímil")</f>
        <v>Abrir facsímil</v>
      </c>
      <c r="K4680" s="15" t="s">
        <v>22</v>
      </c>
    </row>
    <row r="4681" spans="1:11" ht="42" customHeight="1">
      <c r="A4681" s="4" t="s">
        <v>10924</v>
      </c>
      <c r="B4681" s="5" t="s">
        <v>10924</v>
      </c>
      <c r="C4681" s="5" t="s">
        <v>34</v>
      </c>
      <c r="D4681" s="5" t="s">
        <v>35</v>
      </c>
      <c r="E4681" s="5" t="s">
        <v>390</v>
      </c>
      <c r="F4681" s="9">
        <v>24</v>
      </c>
      <c r="G4681" s="9">
        <v>290</v>
      </c>
      <c r="H4681" s="5" t="s">
        <v>20</v>
      </c>
      <c r="I4681" s="5" t="s">
        <v>10933</v>
      </c>
      <c r="J4681" s="12" t="str">
        <f>HYPERLINK("https://www.boe.es/gazeta/dias/1807/03/13/pdfs/GMD-1807-24.pdf#page=14","Abrir facsímil")</f>
        <v>Abrir facsímil</v>
      </c>
      <c r="K4681" s="15" t="s">
        <v>22</v>
      </c>
    </row>
    <row r="4682" spans="1:11" ht="42" customHeight="1">
      <c r="A4682" s="4" t="s">
        <v>10924</v>
      </c>
      <c r="B4682" s="5" t="s">
        <v>10924</v>
      </c>
      <c r="C4682" s="5" t="s">
        <v>34</v>
      </c>
      <c r="D4682" s="5" t="s">
        <v>35</v>
      </c>
      <c r="E4682" s="5" t="s">
        <v>40</v>
      </c>
      <c r="F4682" s="9">
        <v>26</v>
      </c>
      <c r="G4682" s="9">
        <v>315</v>
      </c>
      <c r="H4682" s="5" t="s">
        <v>20</v>
      </c>
      <c r="I4682" s="5" t="s">
        <v>10934</v>
      </c>
      <c r="J4682" s="12" t="str">
        <f>HYPERLINK("https://www.boe.es/gazeta/dias/1807/03/20/pdfs/GMD-1807-26.pdf#page=11","Abrir facsímil")</f>
        <v>Abrir facsímil</v>
      </c>
      <c r="K4682" s="15" t="s">
        <v>22</v>
      </c>
    </row>
    <row r="4683" spans="1:11" ht="42" customHeight="1">
      <c r="A4683" s="4" t="s">
        <v>10924</v>
      </c>
      <c r="B4683" s="5" t="s">
        <v>10924</v>
      </c>
      <c r="C4683" s="5" t="s">
        <v>24</v>
      </c>
      <c r="D4683" s="5" t="s">
        <v>18</v>
      </c>
      <c r="E4683" s="5" t="s">
        <v>3230</v>
      </c>
      <c r="F4683" s="9">
        <v>27</v>
      </c>
      <c r="G4683" s="9">
        <v>328</v>
      </c>
      <c r="H4683" s="5" t="s">
        <v>20</v>
      </c>
      <c r="I4683" s="5" t="s">
        <v>10935</v>
      </c>
      <c r="J4683" s="12" t="str">
        <f>HYPERLINK("https://www.boe.es/gazeta/dias/1807/03/24/pdfs/GMD-1807-27.pdf#page=12","Abrir facsímil")</f>
        <v>Abrir facsímil</v>
      </c>
      <c r="K4683" s="15" t="s">
        <v>22</v>
      </c>
    </row>
    <row r="4684" spans="1:11" ht="42" customHeight="1">
      <c r="A4684" s="4" t="s">
        <v>10924</v>
      </c>
      <c r="B4684" s="5" t="s">
        <v>10924</v>
      </c>
      <c r="C4684" s="5" t="s">
        <v>34</v>
      </c>
      <c r="D4684" s="5" t="s">
        <v>35</v>
      </c>
      <c r="E4684" s="5" t="s">
        <v>2914</v>
      </c>
      <c r="F4684" s="9">
        <v>29</v>
      </c>
      <c r="G4684" s="9">
        <v>348</v>
      </c>
      <c r="H4684" s="5" t="s">
        <v>20</v>
      </c>
      <c r="I4684" s="5" t="s">
        <v>10936</v>
      </c>
      <c r="J4684" s="12" t="str">
        <f>HYPERLINK("https://www.boe.es/gazeta/dias/1807/03/31/pdfs/GMD-1807-29.pdf#page=12","Abrir facsímil")</f>
        <v>Abrir facsímil</v>
      </c>
      <c r="K4684" s="15" t="s">
        <v>22</v>
      </c>
    </row>
    <row r="4685" spans="1:11" ht="42" customHeight="1">
      <c r="A4685" s="4" t="s">
        <v>10924</v>
      </c>
      <c r="B4685" s="5" t="s">
        <v>10924</v>
      </c>
      <c r="C4685" s="5" t="s">
        <v>34</v>
      </c>
      <c r="D4685" s="5" t="s">
        <v>35</v>
      </c>
      <c r="E4685" s="5" t="s">
        <v>478</v>
      </c>
      <c r="F4685" s="9">
        <v>30</v>
      </c>
      <c r="G4685" s="9">
        <v>359</v>
      </c>
      <c r="H4685" s="5" t="s">
        <v>20</v>
      </c>
      <c r="I4685" s="5" t="s">
        <v>10937</v>
      </c>
      <c r="J4685" s="12" t="str">
        <f>HYPERLINK("https://www.boe.es/gazeta/dias/1807/04/03/pdfs/GMD-1807-30.pdf#page=11","Abrir facsímil")</f>
        <v>Abrir facsímil</v>
      </c>
      <c r="K4685" s="15" t="s">
        <v>22</v>
      </c>
    </row>
    <row r="4686" spans="1:11" ht="42" customHeight="1">
      <c r="A4686" s="4" t="s">
        <v>10924</v>
      </c>
      <c r="B4686" s="5" t="s">
        <v>10924</v>
      </c>
      <c r="C4686" s="5" t="s">
        <v>34</v>
      </c>
      <c r="D4686" s="5" t="s">
        <v>35</v>
      </c>
      <c r="E4686" s="5" t="s">
        <v>98</v>
      </c>
      <c r="F4686" s="9">
        <v>34</v>
      </c>
      <c r="G4686" s="9">
        <v>407</v>
      </c>
      <c r="H4686" s="5" t="s">
        <v>20</v>
      </c>
      <c r="I4686" s="5" t="s">
        <v>10938</v>
      </c>
      <c r="J4686" s="12" t="str">
        <f>HYPERLINK("https://www.boe.es/gazeta/dias/1807/04/17/pdfs/GMD-1807-34.pdf#page=11","Abrir facsímil")</f>
        <v>Abrir facsímil</v>
      </c>
      <c r="K4686" s="15" t="s">
        <v>22</v>
      </c>
    </row>
    <row r="4687" spans="1:11" ht="42" customHeight="1">
      <c r="A4687" s="4" t="s">
        <v>10924</v>
      </c>
      <c r="B4687" s="5" t="s">
        <v>10924</v>
      </c>
      <c r="C4687" s="5" t="s">
        <v>34</v>
      </c>
      <c r="D4687" s="5" t="s">
        <v>35</v>
      </c>
      <c r="E4687" s="5" t="s">
        <v>71</v>
      </c>
      <c r="F4687" s="9">
        <v>35</v>
      </c>
      <c r="G4687" s="9">
        <v>419</v>
      </c>
      <c r="H4687" s="5" t="s">
        <v>20</v>
      </c>
      <c r="I4687" s="5" t="s">
        <v>10939</v>
      </c>
      <c r="J4687" s="12" t="str">
        <f>HYPERLINK("https://www.boe.es/gazeta/dias/1807/04/21/pdfs/GMD-1807-35.pdf#page=11","Abrir facsímil")</f>
        <v>Abrir facsímil</v>
      </c>
      <c r="K4687" s="15" t="s">
        <v>22</v>
      </c>
    </row>
    <row r="4688" spans="1:11" ht="42" customHeight="1">
      <c r="A4688" s="4" t="s">
        <v>10924</v>
      </c>
      <c r="B4688" s="5" t="s">
        <v>10924</v>
      </c>
      <c r="C4688" s="5" t="s">
        <v>34</v>
      </c>
      <c r="D4688" s="5" t="s">
        <v>35</v>
      </c>
      <c r="E4688" s="5" t="s">
        <v>36</v>
      </c>
      <c r="F4688" s="9">
        <v>36</v>
      </c>
      <c r="G4688" s="9">
        <v>431</v>
      </c>
      <c r="H4688" s="5" t="s">
        <v>20</v>
      </c>
      <c r="I4688" s="5" t="s">
        <v>10940</v>
      </c>
      <c r="J4688" s="12" t="str">
        <f>HYPERLINK("https://www.boe.es/gazeta/dias/1807/04/24/pdfs/GMD-1807-36.pdf#page=11","Abrir facsímil")</f>
        <v>Abrir facsímil</v>
      </c>
      <c r="K4688" s="15" t="s">
        <v>22</v>
      </c>
    </row>
    <row r="4689" spans="1:11" ht="42" customHeight="1">
      <c r="A4689" s="4" t="s">
        <v>10924</v>
      </c>
      <c r="B4689" s="5" t="s">
        <v>10924</v>
      </c>
      <c r="C4689" s="5" t="s">
        <v>34</v>
      </c>
      <c r="D4689" s="5" t="s">
        <v>35</v>
      </c>
      <c r="E4689" s="5" t="s">
        <v>149</v>
      </c>
      <c r="F4689" s="9">
        <v>38</v>
      </c>
      <c r="G4689" s="9">
        <v>454</v>
      </c>
      <c r="H4689" s="5" t="s">
        <v>20</v>
      </c>
      <c r="I4689" s="5" t="s">
        <v>10941</v>
      </c>
      <c r="J4689" s="12" t="str">
        <f>HYPERLINK("https://www.boe.es/gazeta/dias/1807/05/01/pdfs/GMD-1807-38.pdf#page=10","Abrir facsímil")</f>
        <v>Abrir facsímil</v>
      </c>
      <c r="K4689" s="15" t="s">
        <v>22</v>
      </c>
    </row>
    <row r="4690" spans="1:11" ht="42" customHeight="1">
      <c r="A4690" s="4" t="s">
        <v>10924</v>
      </c>
      <c r="B4690" s="5" t="s">
        <v>10924</v>
      </c>
      <c r="C4690" s="5" t="s">
        <v>34</v>
      </c>
      <c r="D4690" s="5" t="s">
        <v>35</v>
      </c>
      <c r="E4690" s="5" t="s">
        <v>414</v>
      </c>
      <c r="F4690" s="9">
        <v>40</v>
      </c>
      <c r="G4690" s="9">
        <v>480</v>
      </c>
      <c r="H4690" s="5" t="s">
        <v>20</v>
      </c>
      <c r="I4690" s="5" t="s">
        <v>10942</v>
      </c>
      <c r="J4690" s="12" t="str">
        <f>HYPERLINK("https://www.boe.es/gazeta/dias/1807/05/08/pdfs/GMD-1807-40.pdf#page=10","Abrir facsímil")</f>
        <v>Abrir facsímil</v>
      </c>
      <c r="K4690" s="15" t="s">
        <v>22</v>
      </c>
    </row>
    <row r="4691" spans="1:11" ht="42" customHeight="1">
      <c r="A4691" s="4" t="s">
        <v>10924</v>
      </c>
      <c r="B4691" s="5" t="s">
        <v>10924</v>
      </c>
      <c r="C4691" s="5" t="s">
        <v>34</v>
      </c>
      <c r="D4691" s="5" t="s">
        <v>35</v>
      </c>
      <c r="E4691" s="5" t="s">
        <v>666</v>
      </c>
      <c r="F4691" s="9">
        <v>43</v>
      </c>
      <c r="G4691" s="9">
        <v>517</v>
      </c>
      <c r="H4691" s="5" t="s">
        <v>20</v>
      </c>
      <c r="I4691" s="5" t="s">
        <v>10943</v>
      </c>
      <c r="J4691" s="12" t="str">
        <f>HYPERLINK("https://www.boe.es/gazeta/dias/1807/05/19/pdfs/GMD-1807-43.pdf#page=11","Abrir facsímil")</f>
        <v>Abrir facsímil</v>
      </c>
      <c r="K4691" s="15" t="s">
        <v>22</v>
      </c>
    </row>
    <row r="4692" spans="1:11" ht="42" customHeight="1">
      <c r="A4692" s="4" t="s">
        <v>10924</v>
      </c>
      <c r="B4692" s="5" t="s">
        <v>10924</v>
      </c>
      <c r="C4692" s="5" t="s">
        <v>34</v>
      </c>
      <c r="D4692" s="5" t="s">
        <v>35</v>
      </c>
      <c r="E4692" s="5" t="s">
        <v>25</v>
      </c>
      <c r="F4692" s="9">
        <v>45</v>
      </c>
      <c r="G4692" s="9">
        <v>541</v>
      </c>
      <c r="H4692" s="5" t="s">
        <v>20</v>
      </c>
      <c r="I4692" s="5" t="s">
        <v>10944</v>
      </c>
      <c r="J4692" s="12" t="str">
        <f>HYPERLINK("https://www.boe.es/gazeta/dias/1807/05/26/pdfs/GMD-1807-45.pdf#page=11","Abrir facsímil")</f>
        <v>Abrir facsímil</v>
      </c>
      <c r="K4692" s="15" t="s">
        <v>22</v>
      </c>
    </row>
    <row r="4693" spans="1:11" ht="42" customHeight="1">
      <c r="A4693" s="4" t="s">
        <v>10924</v>
      </c>
      <c r="B4693" s="5" t="s">
        <v>10924</v>
      </c>
      <c r="C4693" s="5" t="s">
        <v>34</v>
      </c>
      <c r="D4693" s="5" t="s">
        <v>35</v>
      </c>
      <c r="E4693" s="5" t="s">
        <v>114</v>
      </c>
      <c r="F4693" s="9">
        <v>46</v>
      </c>
      <c r="G4693" s="9">
        <v>553</v>
      </c>
      <c r="H4693" s="5" t="s">
        <v>20</v>
      </c>
      <c r="I4693" s="5" t="s">
        <v>10945</v>
      </c>
      <c r="J4693" s="12" t="str">
        <f>HYPERLINK("https://www.boe.es/gazeta/dias/1807/05/29/pdfs/GMD-1807-46.pdf#page=11","Abrir facsímil")</f>
        <v>Abrir facsímil</v>
      </c>
      <c r="K4693" s="15" t="s">
        <v>22</v>
      </c>
    </row>
    <row r="4694" spans="1:11" ht="42" customHeight="1">
      <c r="A4694" s="4" t="s">
        <v>10946</v>
      </c>
      <c r="B4694" s="5" t="s">
        <v>10946</v>
      </c>
      <c r="C4694" s="5" t="s">
        <v>34</v>
      </c>
      <c r="D4694" s="5" t="s">
        <v>35</v>
      </c>
      <c r="E4694" s="5" t="s">
        <v>507</v>
      </c>
      <c r="F4694" s="9">
        <v>48</v>
      </c>
      <c r="G4694" s="9">
        <v>572</v>
      </c>
      <c r="H4694" s="5" t="s">
        <v>20</v>
      </c>
      <c r="I4694" s="5" t="s">
        <v>10947</v>
      </c>
      <c r="J4694" s="12" t="str">
        <f>HYPERLINK("https://www.boe.es/gazeta/dias/1807/06/05/pdfs/GMD-1807-48.pdf#page=10","Abrir facsímil")</f>
        <v>Abrir facsímil</v>
      </c>
      <c r="K4694" s="15" t="s">
        <v>22</v>
      </c>
    </row>
    <row r="4695" spans="1:11" ht="42" customHeight="1">
      <c r="A4695" s="4" t="s">
        <v>10924</v>
      </c>
      <c r="B4695" s="5" t="s">
        <v>10924</v>
      </c>
      <c r="C4695" s="5" t="s">
        <v>34</v>
      </c>
      <c r="D4695" s="5" t="s">
        <v>35</v>
      </c>
      <c r="E4695" s="5" t="s">
        <v>65</v>
      </c>
      <c r="F4695" s="9">
        <v>52</v>
      </c>
      <c r="G4695" s="9">
        <v>623</v>
      </c>
      <c r="H4695" s="5" t="s">
        <v>20</v>
      </c>
      <c r="I4695" s="5" t="s">
        <v>10948</v>
      </c>
      <c r="J4695" s="12" t="str">
        <f>HYPERLINK("https://www.boe.es/gazeta/dias/1807/06/19/pdfs/GMD-1807-52.pdf#page=13","Abrir facsímil")</f>
        <v>Abrir facsímil</v>
      </c>
      <c r="K4695" s="15" t="s">
        <v>22</v>
      </c>
    </row>
    <row r="4696" spans="1:11" ht="42" customHeight="1">
      <c r="A4696" s="4" t="s">
        <v>10924</v>
      </c>
      <c r="B4696" s="5" t="s">
        <v>10924</v>
      </c>
      <c r="C4696" s="5" t="s">
        <v>34</v>
      </c>
      <c r="D4696" s="5" t="s">
        <v>35</v>
      </c>
      <c r="E4696" s="5" t="s">
        <v>65</v>
      </c>
      <c r="F4696" s="9">
        <v>52</v>
      </c>
      <c r="G4696" s="9">
        <v>624</v>
      </c>
      <c r="H4696" s="5" t="s">
        <v>20</v>
      </c>
      <c r="I4696" s="5" t="s">
        <v>10949</v>
      </c>
      <c r="J4696" s="12" t="str">
        <f>HYPERLINK("https://www.boe.es/gazeta/dias/1807/06/19/pdfs/GMD-1807-52.pdf#page=14","Abrir facsímil")</f>
        <v>Abrir facsímil</v>
      </c>
      <c r="K4696" s="15" t="s">
        <v>22</v>
      </c>
    </row>
    <row r="4697" spans="1:11" ht="42" customHeight="1">
      <c r="A4697" s="4" t="s">
        <v>10924</v>
      </c>
      <c r="B4697" s="5" t="s">
        <v>10924</v>
      </c>
      <c r="C4697" s="5" t="s">
        <v>34</v>
      </c>
      <c r="D4697" s="5" t="s">
        <v>35</v>
      </c>
      <c r="E4697" s="5" t="s">
        <v>319</v>
      </c>
      <c r="F4697" s="9">
        <v>54</v>
      </c>
      <c r="G4697" s="9">
        <v>648</v>
      </c>
      <c r="H4697" s="5" t="s">
        <v>20</v>
      </c>
      <c r="I4697" s="5" t="s">
        <v>10950</v>
      </c>
      <c r="J4697" s="12" t="str">
        <f>HYPERLINK("https://www.boe.es/gazeta/dias/1807/06/26/pdfs/GMD-1807-54.pdf#page=10","Abrir facsímil")</f>
        <v>Abrir facsímil</v>
      </c>
      <c r="K4697" s="15" t="s">
        <v>22</v>
      </c>
    </row>
    <row r="4698" spans="1:11" ht="42" customHeight="1">
      <c r="A4698" s="4" t="s">
        <v>10924</v>
      </c>
      <c r="B4698" s="5" t="s">
        <v>10924</v>
      </c>
      <c r="C4698" s="5" t="s">
        <v>34</v>
      </c>
      <c r="D4698" s="5" t="s">
        <v>35</v>
      </c>
      <c r="E4698" s="5" t="s">
        <v>219</v>
      </c>
      <c r="F4698" s="9">
        <v>56</v>
      </c>
      <c r="G4698" s="9">
        <v>672</v>
      </c>
      <c r="H4698" s="5" t="s">
        <v>20</v>
      </c>
      <c r="I4698" s="5" t="s">
        <v>10951</v>
      </c>
      <c r="J4698" s="12" t="str">
        <f>HYPERLINK("https://www.boe.es/gazeta/dias/1807/07/03/pdfs/GMD-1807-56.pdf#page=10","Abrir facsímil")</f>
        <v>Abrir facsímil</v>
      </c>
      <c r="K4698" s="15" t="s">
        <v>22</v>
      </c>
    </row>
    <row r="4699" spans="1:11" ht="42" customHeight="1">
      <c r="A4699" s="4" t="s">
        <v>10924</v>
      </c>
      <c r="B4699" s="5" t="s">
        <v>10924</v>
      </c>
      <c r="C4699" s="5" t="s">
        <v>34</v>
      </c>
      <c r="D4699" s="5" t="s">
        <v>35</v>
      </c>
      <c r="E4699" s="5" t="s">
        <v>152</v>
      </c>
      <c r="F4699" s="9">
        <v>61</v>
      </c>
      <c r="G4699" s="9">
        <v>723</v>
      </c>
      <c r="H4699" s="5" t="s">
        <v>20</v>
      </c>
      <c r="I4699" s="5" t="s">
        <v>10952</v>
      </c>
      <c r="J4699" s="12" t="str">
        <f>HYPERLINK("https://www.boe.es/gazeta/dias/1807/07/14/pdfs/GMD-1807-61.pdf#page=9","Abrir facsímil")</f>
        <v>Abrir facsímil</v>
      </c>
      <c r="K4699" s="15" t="s">
        <v>22</v>
      </c>
    </row>
    <row r="4700" spans="1:11" ht="42" customHeight="1">
      <c r="A4700" s="4" t="s">
        <v>10924</v>
      </c>
      <c r="B4700" s="5" t="s">
        <v>10924</v>
      </c>
      <c r="C4700" s="5" t="s">
        <v>17</v>
      </c>
      <c r="D4700" s="5" t="s">
        <v>18</v>
      </c>
      <c r="E4700" s="5" t="s">
        <v>51</v>
      </c>
      <c r="F4700" s="9">
        <v>62</v>
      </c>
      <c r="G4700" s="9">
        <v>733</v>
      </c>
      <c r="H4700" s="5" t="s">
        <v>20</v>
      </c>
      <c r="I4700" s="5" t="s">
        <v>10953</v>
      </c>
      <c r="J4700" s="12" t="str">
        <f>HYPERLINK("https://www.boe.es/gazeta/dias/1807/07/17/pdfs/GMD-1807-62.pdf#page=7","Abrir facsímil")</f>
        <v>Abrir facsímil</v>
      </c>
      <c r="K4700" s="15" t="s">
        <v>22</v>
      </c>
    </row>
    <row r="4701" spans="1:11" ht="42" customHeight="1">
      <c r="A4701" s="4" t="s">
        <v>10924</v>
      </c>
      <c r="B4701" s="5" t="s">
        <v>10924</v>
      </c>
      <c r="C4701" s="5" t="s">
        <v>34</v>
      </c>
      <c r="D4701" s="5" t="s">
        <v>35</v>
      </c>
      <c r="E4701" s="5" t="s">
        <v>123</v>
      </c>
      <c r="F4701" s="9">
        <v>70</v>
      </c>
      <c r="G4701" s="9">
        <v>807</v>
      </c>
      <c r="H4701" s="5" t="s">
        <v>20</v>
      </c>
      <c r="I4701" s="5" t="s">
        <v>10954</v>
      </c>
      <c r="J4701" s="12" t="str">
        <f>HYPERLINK("https://www.boe.es/gazeta/dias/1807/08/04/pdfs/GMD-1807-70.pdf#page=11","Abrir facsímil")</f>
        <v>Abrir facsímil</v>
      </c>
      <c r="K4701" s="15" t="s">
        <v>22</v>
      </c>
    </row>
    <row r="4702" spans="1:11" ht="42" customHeight="1">
      <c r="A4702" s="4" t="s">
        <v>10924</v>
      </c>
      <c r="B4702" s="5" t="s">
        <v>10924</v>
      </c>
      <c r="C4702" s="5" t="s">
        <v>17</v>
      </c>
      <c r="D4702" s="5" t="s">
        <v>18</v>
      </c>
      <c r="E4702" s="5" t="s">
        <v>186</v>
      </c>
      <c r="F4702" s="9">
        <v>72</v>
      </c>
      <c r="G4702" s="9">
        <v>835</v>
      </c>
      <c r="H4702" s="5" t="s">
        <v>20</v>
      </c>
      <c r="I4702" s="5" t="s">
        <v>10955</v>
      </c>
      <c r="J4702" s="12" t="str">
        <f>HYPERLINK("https://www.boe.es/gazeta/dias/1807/08/11/pdfs/GMD-1807-72.pdf#page=15","Abrir facsímil")</f>
        <v>Abrir facsímil</v>
      </c>
      <c r="K4702" s="15" t="s">
        <v>22</v>
      </c>
    </row>
    <row r="4703" spans="1:11" ht="42" customHeight="1">
      <c r="A4703" s="4" t="s">
        <v>10924</v>
      </c>
      <c r="B4703" s="5" t="s">
        <v>10924</v>
      </c>
      <c r="C4703" s="5" t="s">
        <v>34</v>
      </c>
      <c r="D4703" s="5" t="s">
        <v>35</v>
      </c>
      <c r="E4703" s="5" t="s">
        <v>156</v>
      </c>
      <c r="F4703" s="9">
        <v>74</v>
      </c>
      <c r="G4703" s="9">
        <v>858</v>
      </c>
      <c r="H4703" s="5" t="s">
        <v>20</v>
      </c>
      <c r="I4703" s="5" t="s">
        <v>10956</v>
      </c>
      <c r="J4703" s="12" t="str">
        <f>HYPERLINK("https://www.boe.es/gazeta/dias/1807/08/18/pdfs/GMD-1807-74.pdf#page=10","Abrir facsímil")</f>
        <v>Abrir facsímil</v>
      </c>
      <c r="K4703" s="15" t="s">
        <v>22</v>
      </c>
    </row>
    <row r="4704" spans="1:11" ht="42" customHeight="1">
      <c r="A4704" s="4" t="s">
        <v>10924</v>
      </c>
      <c r="B4704" s="5" t="s">
        <v>10924</v>
      </c>
      <c r="C4704" s="5" t="s">
        <v>34</v>
      </c>
      <c r="D4704" s="5" t="s">
        <v>35</v>
      </c>
      <c r="E4704" s="5" t="s">
        <v>156</v>
      </c>
      <c r="F4704" s="9">
        <v>74</v>
      </c>
      <c r="G4704" s="9">
        <v>859</v>
      </c>
      <c r="H4704" s="5" t="s">
        <v>20</v>
      </c>
      <c r="I4704" s="5" t="s">
        <v>10957</v>
      </c>
      <c r="J4704" s="12" t="str">
        <f>HYPERLINK("https://www.boe.es/gazeta/dias/1807/08/18/pdfs/GMD-1807-74.pdf#page=11","Abrir facsímil")</f>
        <v>Abrir facsímil</v>
      </c>
      <c r="K4704" s="15" t="s">
        <v>22</v>
      </c>
    </row>
    <row r="4705" spans="1:11" ht="42" customHeight="1">
      <c r="A4705" s="4" t="s">
        <v>10924</v>
      </c>
      <c r="B4705" s="5" t="s">
        <v>10924</v>
      </c>
      <c r="C4705" s="5" t="s">
        <v>17</v>
      </c>
      <c r="D4705" s="5" t="s">
        <v>18</v>
      </c>
      <c r="E4705" s="5" t="s">
        <v>321</v>
      </c>
      <c r="F4705" s="9">
        <v>75</v>
      </c>
      <c r="G4705" s="9">
        <v>871</v>
      </c>
      <c r="H4705" s="5" t="s">
        <v>20</v>
      </c>
      <c r="I4705" s="5" t="s">
        <v>10958</v>
      </c>
      <c r="J4705" s="12" t="str">
        <f>HYPERLINK("https://www.boe.es/gazeta/dias/1807/08/21/pdfs/GMD-1807-75.pdf#page=11","Abrir facsímil")</f>
        <v>Abrir facsímil</v>
      </c>
      <c r="K4705" s="15" t="s">
        <v>22</v>
      </c>
    </row>
    <row r="4706" spans="1:11" ht="42" customHeight="1">
      <c r="A4706" s="4" t="s">
        <v>10924</v>
      </c>
      <c r="B4706" s="5" t="s">
        <v>10924</v>
      </c>
      <c r="C4706" s="5" t="s">
        <v>34</v>
      </c>
      <c r="D4706" s="5" t="s">
        <v>35</v>
      </c>
      <c r="E4706" s="5" t="s">
        <v>406</v>
      </c>
      <c r="F4706" s="9">
        <v>82</v>
      </c>
      <c r="G4706" s="9">
        <v>958</v>
      </c>
      <c r="H4706" s="5" t="s">
        <v>20</v>
      </c>
      <c r="I4706" s="5" t="s">
        <v>10959</v>
      </c>
      <c r="J4706" s="12" t="str">
        <f>HYPERLINK("https://www.boe.es/gazeta/dias/1807/09/15/pdfs/GMD-1807-82.pdf#page=10","Abrir facsímil")</f>
        <v>Abrir facsímil</v>
      </c>
      <c r="K4706" s="15" t="s">
        <v>22</v>
      </c>
    </row>
    <row r="4707" spans="1:11" ht="42" customHeight="1">
      <c r="A4707" s="4" t="s">
        <v>10924</v>
      </c>
      <c r="B4707" s="5" t="s">
        <v>10924</v>
      </c>
      <c r="C4707" s="5" t="s">
        <v>34</v>
      </c>
      <c r="D4707" s="5" t="s">
        <v>35</v>
      </c>
      <c r="E4707" s="5" t="s">
        <v>1354</v>
      </c>
      <c r="F4707" s="9">
        <v>83</v>
      </c>
      <c r="G4707" s="9">
        <v>970</v>
      </c>
      <c r="H4707" s="5" t="s">
        <v>20</v>
      </c>
      <c r="I4707" s="5" t="s">
        <v>10960</v>
      </c>
      <c r="J4707" s="12" t="str">
        <f>HYPERLINK("https://www.boe.es/gazeta/dias/1807/09/18/pdfs/GMD-1807-83.pdf#page=10","Abrir facsímil")</f>
        <v>Abrir facsímil</v>
      </c>
      <c r="K4707" s="15" t="s">
        <v>22</v>
      </c>
    </row>
    <row r="4708" spans="1:11" ht="42" customHeight="1">
      <c r="A4708" s="4" t="s">
        <v>10924</v>
      </c>
      <c r="B4708" s="5" t="s">
        <v>10924</v>
      </c>
      <c r="C4708" s="5" t="s">
        <v>34</v>
      </c>
      <c r="D4708" s="5" t="s">
        <v>35</v>
      </c>
      <c r="E4708" s="5" t="s">
        <v>620</v>
      </c>
      <c r="F4708" s="9">
        <v>84</v>
      </c>
      <c r="G4708" s="9">
        <v>983</v>
      </c>
      <c r="H4708" s="5" t="s">
        <v>20</v>
      </c>
      <c r="I4708" s="5" t="s">
        <v>10961</v>
      </c>
      <c r="J4708" s="12" t="str">
        <f>HYPERLINK("https://www.boe.es/gazeta/dias/1807/09/22/pdfs/GMD-1807-84.pdf#page=11","Abrir facsímil")</f>
        <v>Abrir facsímil</v>
      </c>
      <c r="K4708" s="15" t="s">
        <v>22</v>
      </c>
    </row>
    <row r="4709" spans="1:11" ht="42" customHeight="1">
      <c r="A4709" s="4" t="s">
        <v>10924</v>
      </c>
      <c r="B4709" s="5" t="s">
        <v>10924</v>
      </c>
      <c r="C4709" s="5" t="s">
        <v>34</v>
      </c>
      <c r="D4709" s="5" t="s">
        <v>35</v>
      </c>
      <c r="E4709" s="5" t="s">
        <v>793</v>
      </c>
      <c r="F4709" s="9">
        <v>87</v>
      </c>
      <c r="G4709" s="9">
        <v>1011</v>
      </c>
      <c r="H4709" s="5" t="s">
        <v>20</v>
      </c>
      <c r="I4709" s="5" t="s">
        <v>10962</v>
      </c>
      <c r="J4709" s="12" t="str">
        <f>HYPERLINK("https://www.boe.es/gazeta/dias/1807/09/29/pdfs/GMD-1807-87.pdf#page=11","Abrir facsímil")</f>
        <v>Abrir facsímil</v>
      </c>
      <c r="K4709" s="15" t="s">
        <v>22</v>
      </c>
    </row>
    <row r="4710" spans="1:11" ht="42" customHeight="1">
      <c r="A4710" s="4" t="s">
        <v>10924</v>
      </c>
      <c r="B4710" s="5" t="s">
        <v>10924</v>
      </c>
      <c r="C4710" s="5" t="s">
        <v>34</v>
      </c>
      <c r="D4710" s="5" t="s">
        <v>35</v>
      </c>
      <c r="E4710" s="5" t="s">
        <v>301</v>
      </c>
      <c r="F4710" s="9">
        <v>89</v>
      </c>
      <c r="G4710" s="9">
        <v>1031</v>
      </c>
      <c r="H4710" s="5" t="s">
        <v>20</v>
      </c>
      <c r="I4710" s="5" t="s">
        <v>10963</v>
      </c>
      <c r="J4710" s="12" t="str">
        <f>HYPERLINK("https://www.boe.es/gazeta/dias/1807/10/02/pdfs/GMD-1807-89.pdf#page=11","Abrir facsímil")</f>
        <v>Abrir facsímil</v>
      </c>
      <c r="K4710" s="15" t="s">
        <v>22</v>
      </c>
    </row>
    <row r="4711" spans="1:11" ht="42" customHeight="1">
      <c r="A4711" s="4" t="s">
        <v>10924</v>
      </c>
      <c r="B4711" s="5" t="s">
        <v>10924</v>
      </c>
      <c r="C4711" s="5" t="s">
        <v>34</v>
      </c>
      <c r="D4711" s="5" t="s">
        <v>35</v>
      </c>
      <c r="E4711" s="5" t="s">
        <v>426</v>
      </c>
      <c r="F4711" s="9">
        <v>93</v>
      </c>
      <c r="G4711" s="9">
        <v>1082</v>
      </c>
      <c r="H4711" s="5" t="s">
        <v>20</v>
      </c>
      <c r="I4711" s="5" t="s">
        <v>10964</v>
      </c>
      <c r="J4711" s="12" t="str">
        <f>HYPERLINK("https://www.boe.es/gazeta/dias/1807/10/16/pdfs/GMD-1807-93.pdf#page=10","Abrir facsímil")</f>
        <v>Abrir facsímil</v>
      </c>
      <c r="K4711" s="15" t="s">
        <v>22</v>
      </c>
    </row>
    <row r="4712" spans="1:11" ht="42" customHeight="1">
      <c r="A4712" s="4" t="s">
        <v>10924</v>
      </c>
      <c r="B4712" s="5" t="s">
        <v>10924</v>
      </c>
      <c r="C4712" s="5" t="s">
        <v>34</v>
      </c>
      <c r="D4712" s="5" t="s">
        <v>35</v>
      </c>
      <c r="E4712" s="5" t="s">
        <v>444</v>
      </c>
      <c r="F4712" s="9">
        <v>95</v>
      </c>
      <c r="G4712" s="9">
        <v>1107</v>
      </c>
      <c r="H4712" s="5" t="s">
        <v>20</v>
      </c>
      <c r="I4712" s="5" t="s">
        <v>10965</v>
      </c>
      <c r="J4712" s="12" t="str">
        <f>HYPERLINK("https://www.boe.es/gazeta/dias/1807/10/23/pdfs/GMD-1807-95.pdf#page=11","Abrir facsímil")</f>
        <v>Abrir facsímil</v>
      </c>
      <c r="K4712" s="15" t="s">
        <v>22</v>
      </c>
    </row>
    <row r="4713" spans="1:11" ht="42" customHeight="1">
      <c r="A4713" s="4" t="s">
        <v>10924</v>
      </c>
      <c r="B4713" s="5" t="s">
        <v>10924</v>
      </c>
      <c r="C4713" s="5" t="s">
        <v>17</v>
      </c>
      <c r="D4713" s="5" t="s">
        <v>18</v>
      </c>
      <c r="E4713" s="5" t="s">
        <v>1076</v>
      </c>
      <c r="F4713" s="9">
        <v>96</v>
      </c>
      <c r="G4713" s="9">
        <v>1119</v>
      </c>
      <c r="H4713" s="5" t="s">
        <v>20</v>
      </c>
      <c r="I4713" s="5" t="s">
        <v>10966</v>
      </c>
      <c r="J4713" s="12" t="str">
        <f>HYPERLINK("https://www.boe.es/gazeta/dias/1807/10/27/pdfs/GMD-1807-96.pdf#page=11","Abrir facsímil")</f>
        <v>Abrir facsímil</v>
      </c>
      <c r="K4713" s="15" t="s">
        <v>22</v>
      </c>
    </row>
    <row r="4714" spans="1:11" ht="42" customHeight="1">
      <c r="A4714" s="4" t="s">
        <v>10924</v>
      </c>
      <c r="B4714" s="5" t="s">
        <v>10924</v>
      </c>
      <c r="C4714" s="5" t="s">
        <v>34</v>
      </c>
      <c r="D4714" s="5" t="s">
        <v>35</v>
      </c>
      <c r="E4714" s="5" t="s">
        <v>245</v>
      </c>
      <c r="F4714" s="9">
        <v>97</v>
      </c>
      <c r="G4714" s="9">
        <v>1130</v>
      </c>
      <c r="H4714" s="5" t="s">
        <v>20</v>
      </c>
      <c r="I4714" s="5" t="s">
        <v>10967</v>
      </c>
      <c r="J4714" s="12" t="str">
        <f>HYPERLINK("https://www.boe.es/gazeta/dias/1807/10/30/pdfs/GMD-1807-97.pdf#page=10","Abrir facsímil")</f>
        <v>Abrir facsímil</v>
      </c>
      <c r="K4714" s="15" t="s">
        <v>22</v>
      </c>
    </row>
    <row r="4715" spans="1:11" ht="42" customHeight="1">
      <c r="A4715" s="4" t="s">
        <v>10924</v>
      </c>
      <c r="B4715" s="5" t="s">
        <v>10924</v>
      </c>
      <c r="C4715" s="5" t="s">
        <v>34</v>
      </c>
      <c r="D4715" s="5" t="s">
        <v>35</v>
      </c>
      <c r="E4715" s="5" t="s">
        <v>1456</v>
      </c>
      <c r="F4715" s="9">
        <v>98</v>
      </c>
      <c r="G4715" s="9">
        <v>1143</v>
      </c>
      <c r="H4715" s="5" t="s">
        <v>20</v>
      </c>
      <c r="I4715" s="5" t="s">
        <v>10968</v>
      </c>
      <c r="J4715" s="12" t="str">
        <f>HYPERLINK("https://www.boe.es/gazeta/dias/1807/11/03/pdfs/GMD-1807-98.pdf#page=11","Abrir facsímil")</f>
        <v>Abrir facsímil</v>
      </c>
      <c r="K4715" s="15" t="s">
        <v>22</v>
      </c>
    </row>
    <row r="4716" spans="1:11" ht="42" customHeight="1">
      <c r="A4716" s="4" t="s">
        <v>10924</v>
      </c>
      <c r="B4716" s="5" t="s">
        <v>10924</v>
      </c>
      <c r="C4716" s="5" t="s">
        <v>34</v>
      </c>
      <c r="D4716" s="5" t="s">
        <v>35</v>
      </c>
      <c r="E4716" s="5" t="s">
        <v>179</v>
      </c>
      <c r="F4716" s="9">
        <v>100</v>
      </c>
      <c r="G4716" s="9">
        <v>1165</v>
      </c>
      <c r="H4716" s="5" t="s">
        <v>20</v>
      </c>
      <c r="I4716" s="5" t="s">
        <v>10969</v>
      </c>
      <c r="J4716" s="12" t="str">
        <f>HYPERLINK("https://www.boe.es/gazeta/dias/1807/11/10/pdfs/GMD-1807-100.pdf#page=9","Abrir facsímil")</f>
        <v>Abrir facsímil</v>
      </c>
      <c r="K4716" s="15" t="s">
        <v>22</v>
      </c>
    </row>
    <row r="4717" spans="1:11" ht="42" customHeight="1">
      <c r="A4717" s="4" t="s">
        <v>10924</v>
      </c>
      <c r="B4717" s="5" t="s">
        <v>10924</v>
      </c>
      <c r="C4717" s="5" t="s">
        <v>34</v>
      </c>
      <c r="D4717" s="5" t="s">
        <v>35</v>
      </c>
      <c r="E4717" s="5" t="s">
        <v>296</v>
      </c>
      <c r="F4717" s="9">
        <v>102</v>
      </c>
      <c r="G4717" s="9">
        <v>1190</v>
      </c>
      <c r="H4717" s="5" t="s">
        <v>20</v>
      </c>
      <c r="I4717" s="5" t="s">
        <v>10970</v>
      </c>
      <c r="J4717" s="12" t="str">
        <f>HYPERLINK("https://www.boe.es/gazeta/dias/1807/11/17/pdfs/GMD-1807-102.pdf#page=10","Abrir facsímil")</f>
        <v>Abrir facsímil</v>
      </c>
      <c r="K4717" s="15" t="s">
        <v>22</v>
      </c>
    </row>
    <row r="4718" spans="1:11" ht="42" customHeight="1">
      <c r="A4718" s="4" t="s">
        <v>10924</v>
      </c>
      <c r="B4718" s="5" t="s">
        <v>10924</v>
      </c>
      <c r="C4718" s="5" t="s">
        <v>34</v>
      </c>
      <c r="D4718" s="5" t="s">
        <v>35</v>
      </c>
      <c r="E4718" s="5" t="s">
        <v>275</v>
      </c>
      <c r="F4718" s="9">
        <v>104</v>
      </c>
      <c r="G4718" s="9">
        <v>1216</v>
      </c>
      <c r="H4718" s="5" t="s">
        <v>20</v>
      </c>
      <c r="I4718" s="5" t="s">
        <v>10971</v>
      </c>
      <c r="J4718" s="12" t="str">
        <f>HYPERLINK("https://www.boe.es/gazeta/dias/1807/11/24/pdfs/GMD-1807-104.pdf#page=12","Abrir facsímil")</f>
        <v>Abrir facsímil</v>
      </c>
      <c r="K4718" s="15" t="s">
        <v>22</v>
      </c>
    </row>
    <row r="4719" spans="1:11" ht="42" customHeight="1">
      <c r="A4719" s="4" t="s">
        <v>10924</v>
      </c>
      <c r="B4719" s="5" t="s">
        <v>10924</v>
      </c>
      <c r="C4719" s="5" t="s">
        <v>34</v>
      </c>
      <c r="D4719" s="5" t="s">
        <v>35</v>
      </c>
      <c r="E4719" s="5" t="s">
        <v>309</v>
      </c>
      <c r="F4719" s="9">
        <v>107</v>
      </c>
      <c r="G4719" s="9">
        <v>1248</v>
      </c>
      <c r="H4719" s="5" t="s">
        <v>20</v>
      </c>
      <c r="I4719" s="5" t="s">
        <v>10972</v>
      </c>
      <c r="J4719" s="12" t="str">
        <f>HYPERLINK("https://www.boe.es/gazeta/dias/1807/12/01/pdfs/GMD-1807-107.pdf#page=8","Abrir facsímil")</f>
        <v>Abrir facsímil</v>
      </c>
      <c r="K4719" s="15" t="s">
        <v>22</v>
      </c>
    </row>
    <row r="4720" spans="1:11" ht="42" customHeight="1">
      <c r="A4720" s="4" t="s">
        <v>10924</v>
      </c>
      <c r="B4720" s="5" t="s">
        <v>10924</v>
      </c>
      <c r="C4720" s="5" t="s">
        <v>34</v>
      </c>
      <c r="D4720" s="5" t="s">
        <v>35</v>
      </c>
      <c r="E4720" s="5" t="s">
        <v>327</v>
      </c>
      <c r="F4720" s="9">
        <v>108</v>
      </c>
      <c r="G4720" s="9">
        <v>1262</v>
      </c>
      <c r="H4720" s="5" t="s">
        <v>20</v>
      </c>
      <c r="I4720" s="5" t="s">
        <v>10973</v>
      </c>
      <c r="J4720" s="12" t="str">
        <f>HYPERLINK("https://www.boe.es/gazeta/dias/1807/12/04/pdfs/GMD-1807-108.pdf#page=10","Abrir facsímil")</f>
        <v>Abrir facsímil</v>
      </c>
      <c r="K4720" s="15" t="s">
        <v>22</v>
      </c>
    </row>
    <row r="4721" spans="1:11" ht="42" customHeight="1">
      <c r="A4721" s="4" t="s">
        <v>10924</v>
      </c>
      <c r="B4721" s="5" t="s">
        <v>10924</v>
      </c>
      <c r="C4721" s="5" t="s">
        <v>34</v>
      </c>
      <c r="D4721" s="5" t="s">
        <v>35</v>
      </c>
      <c r="E4721" s="5" t="s">
        <v>139</v>
      </c>
      <c r="F4721" s="9">
        <v>110</v>
      </c>
      <c r="G4721" s="9">
        <v>1285</v>
      </c>
      <c r="H4721" s="5" t="s">
        <v>20</v>
      </c>
      <c r="I4721" s="5" t="s">
        <v>10974</v>
      </c>
      <c r="J4721" s="12" t="str">
        <f>HYPERLINK("https://www.boe.es/gazeta/dias/1807/12/11/pdfs/GMD-1807-110.pdf#page=9","Abrir facsímil")</f>
        <v>Abrir facsímil</v>
      </c>
      <c r="K4721" s="15" t="s">
        <v>22</v>
      </c>
    </row>
    <row r="4722" spans="1:11" ht="42" customHeight="1">
      <c r="A4722" s="4" t="s">
        <v>10924</v>
      </c>
      <c r="B4722" s="5" t="s">
        <v>10924</v>
      </c>
      <c r="C4722" s="5" t="s">
        <v>34</v>
      </c>
      <c r="D4722" s="5" t="s">
        <v>35</v>
      </c>
      <c r="E4722" s="5" t="s">
        <v>384</v>
      </c>
      <c r="F4722" s="9">
        <v>111</v>
      </c>
      <c r="G4722" s="9">
        <v>1299</v>
      </c>
      <c r="H4722" s="5" t="s">
        <v>20</v>
      </c>
      <c r="I4722" s="5" t="s">
        <v>10975</v>
      </c>
      <c r="J4722" s="12" t="str">
        <f>HYPERLINK("https://www.boe.es/gazeta/dias/1807/12/15/pdfs/GMD-1807-111.pdf#page=11","Abrir facsímil")</f>
        <v>Abrir facsímil</v>
      </c>
      <c r="K4722" s="15" t="s">
        <v>22</v>
      </c>
    </row>
    <row r="4723" spans="1:11" ht="42" customHeight="1">
      <c r="A4723" s="4" t="s">
        <v>10924</v>
      </c>
      <c r="B4723" s="5" t="s">
        <v>10924</v>
      </c>
      <c r="C4723" s="5" t="s">
        <v>34</v>
      </c>
      <c r="D4723" s="5" t="s">
        <v>35</v>
      </c>
      <c r="E4723" s="5" t="s">
        <v>361</v>
      </c>
      <c r="F4723" s="9">
        <v>113</v>
      </c>
      <c r="G4723" s="9">
        <v>1323</v>
      </c>
      <c r="H4723" s="5" t="s">
        <v>20</v>
      </c>
      <c r="I4723" s="5" t="s">
        <v>10976</v>
      </c>
      <c r="J4723" s="12" t="str">
        <f>HYPERLINK("https://www.boe.es/gazeta/dias/1807/12/22/pdfs/GMD-1807-113.pdf#page=11","Abrir facsímil")</f>
        <v>Abrir facsímil</v>
      </c>
      <c r="K4723" s="15" t="s">
        <v>22</v>
      </c>
    </row>
    <row r="4724" spans="1:11" ht="42" customHeight="1">
      <c r="A4724" s="4" t="s">
        <v>10977</v>
      </c>
      <c r="B4724" s="5" t="s">
        <v>10977</v>
      </c>
      <c r="C4724" s="5" t="s">
        <v>34</v>
      </c>
      <c r="D4724" s="5" t="s">
        <v>35</v>
      </c>
      <c r="E4724" s="5" t="s">
        <v>350</v>
      </c>
      <c r="F4724" s="9">
        <v>112</v>
      </c>
      <c r="G4724" s="9">
        <v>1311</v>
      </c>
      <c r="H4724" s="5" t="s">
        <v>20</v>
      </c>
      <c r="I4724" s="5" t="s">
        <v>10978</v>
      </c>
      <c r="J4724" s="12" t="str">
        <f>HYPERLINK("https://www.boe.es/gazeta/dias/1807/12/18/pdfs/GMD-1807-112.pdf#page=11","Abrir facsímil")</f>
        <v>Abrir facsímil</v>
      </c>
      <c r="K4724" s="15" t="s">
        <v>22</v>
      </c>
    </row>
    <row r="4725" spans="1:11" ht="42" customHeight="1">
      <c r="A4725" s="4" t="s">
        <v>10979</v>
      </c>
      <c r="B4725" s="5" t="s">
        <v>10979</v>
      </c>
      <c r="C4725" s="5" t="s">
        <v>89</v>
      </c>
      <c r="D4725" s="5" t="s">
        <v>90</v>
      </c>
      <c r="E4725" s="5" t="s">
        <v>123</v>
      </c>
      <c r="F4725" s="9">
        <v>70</v>
      </c>
      <c r="G4725" s="9">
        <v>807</v>
      </c>
      <c r="H4725" s="5" t="s">
        <v>20</v>
      </c>
      <c r="I4725" s="5" t="s">
        <v>10980</v>
      </c>
      <c r="J4725" s="12" t="str">
        <f>HYPERLINK("https://www.boe.es/gazeta/dias/1807/08/04/pdfs/GMD-1807-70.pdf#page=11","Abrir facsímil")</f>
        <v>Abrir facsímil</v>
      </c>
      <c r="K4725" s="15" t="s">
        <v>22</v>
      </c>
    </row>
    <row r="4726" spans="1:11" ht="42" customHeight="1">
      <c r="A4726" s="4" t="s">
        <v>10981</v>
      </c>
      <c r="B4726" s="5" t="s">
        <v>10981</v>
      </c>
      <c r="C4726" s="5" t="s">
        <v>89</v>
      </c>
      <c r="D4726" s="5" t="s">
        <v>90</v>
      </c>
      <c r="E4726" s="5" t="s">
        <v>179</v>
      </c>
      <c r="F4726" s="9">
        <v>100</v>
      </c>
      <c r="G4726" s="9">
        <v>1167</v>
      </c>
      <c r="H4726" s="5" t="s">
        <v>20</v>
      </c>
      <c r="I4726" s="5" t="s">
        <v>10982</v>
      </c>
      <c r="J4726" s="12" t="str">
        <f>HYPERLINK("https://www.boe.es/gazeta/dias/1807/11/10/pdfs/GMD-1807-100.pdf#page=11","Abrir facsímil")</f>
        <v>Abrir facsímil</v>
      </c>
      <c r="K4726" s="15" t="s">
        <v>22</v>
      </c>
    </row>
    <row r="4727" spans="1:11" ht="42" customHeight="1">
      <c r="A4727" s="4" t="s">
        <v>10983</v>
      </c>
      <c r="B4727" s="5" t="s">
        <v>10983</v>
      </c>
      <c r="C4727" s="5" t="s">
        <v>34</v>
      </c>
      <c r="D4727" s="5" t="s">
        <v>35</v>
      </c>
      <c r="E4727" s="5" t="s">
        <v>120</v>
      </c>
      <c r="F4727" s="9">
        <v>10</v>
      </c>
      <c r="G4727" s="9">
        <v>114</v>
      </c>
      <c r="H4727" s="5" t="s">
        <v>20</v>
      </c>
      <c r="I4727" s="5" t="s">
        <v>10984</v>
      </c>
      <c r="J4727" s="12" t="str">
        <f>HYPERLINK("https://www.boe.es/gazeta/dias/1807/01/27/pdfs/GMD-1807-10.pdf#page=10","Abrir facsímil")</f>
        <v>Abrir facsímil</v>
      </c>
      <c r="K4727" s="15" t="s">
        <v>22</v>
      </c>
    </row>
    <row r="4728" spans="1:11" ht="42" customHeight="1">
      <c r="A4728" s="4" t="s">
        <v>10985</v>
      </c>
      <c r="B4728" s="5" t="s">
        <v>10986</v>
      </c>
      <c r="C4728" s="5" t="s">
        <v>34</v>
      </c>
      <c r="D4728" s="5" t="s">
        <v>35</v>
      </c>
      <c r="E4728" s="5" t="s">
        <v>83</v>
      </c>
      <c r="F4728" s="9">
        <v>50</v>
      </c>
      <c r="G4728" s="9">
        <v>595</v>
      </c>
      <c r="H4728" s="5" t="s">
        <v>20</v>
      </c>
      <c r="I4728" s="5" t="s">
        <v>10987</v>
      </c>
      <c r="J4728" s="12" t="str">
        <f>HYPERLINK("https://www.boe.es/gazeta/dias/1807/06/12/pdfs/GMD-1807-50.pdf#page=9","Abrir facsímil")</f>
        <v>Abrir facsímil</v>
      </c>
      <c r="K4728" s="15" t="s">
        <v>22</v>
      </c>
    </row>
    <row r="4729" spans="1:11" ht="42" customHeight="1">
      <c r="A4729" s="4" t="s">
        <v>10988</v>
      </c>
      <c r="B4729" s="5" t="s">
        <v>10988</v>
      </c>
      <c r="C4729" s="5" t="s">
        <v>28</v>
      </c>
      <c r="D4729" s="5" t="s">
        <v>29</v>
      </c>
      <c r="E4729" s="5" t="s">
        <v>418</v>
      </c>
      <c r="F4729" s="9">
        <v>4</v>
      </c>
      <c r="G4729" s="9">
        <v>39</v>
      </c>
      <c r="H4729" s="5" t="s">
        <v>20</v>
      </c>
      <c r="I4729" s="5" t="s">
        <v>10989</v>
      </c>
      <c r="J4729" s="12" t="str">
        <f>HYPERLINK("https://www.boe.es/gazeta/dias/1807/01/13/pdfs/GMD-1807-4.pdf#page=7","Abrir facsímil")</f>
        <v>Abrir facsímil</v>
      </c>
      <c r="K4729" s="15" t="s">
        <v>22</v>
      </c>
    </row>
    <row r="4730" spans="1:11" ht="42" customHeight="1">
      <c r="A4730" s="4" t="s">
        <v>10990</v>
      </c>
      <c r="B4730" s="5" t="s">
        <v>10991</v>
      </c>
      <c r="C4730" s="5" t="s">
        <v>17</v>
      </c>
      <c r="D4730" s="5" t="s">
        <v>18</v>
      </c>
      <c r="E4730" s="5" t="s">
        <v>131</v>
      </c>
      <c r="F4730" s="9">
        <v>28</v>
      </c>
      <c r="G4730" s="9">
        <v>334</v>
      </c>
      <c r="H4730" s="5" t="s">
        <v>20</v>
      </c>
      <c r="I4730" s="5" t="s">
        <v>10992</v>
      </c>
      <c r="J4730" s="12" t="str">
        <f>HYPERLINK("https://www.boe.es/gazeta/dias/1807/03/27/pdfs/GMD-1807-28.pdf#page=6","Abrir facsímil")</f>
        <v>Abrir facsímil</v>
      </c>
      <c r="K4730" s="15" t="s">
        <v>22</v>
      </c>
    </row>
    <row r="4731" spans="1:11" ht="42" customHeight="1">
      <c r="A4731" s="4" t="s">
        <v>10993</v>
      </c>
      <c r="B4731" s="5" t="s">
        <v>10994</v>
      </c>
      <c r="C4731" s="5" t="s">
        <v>17</v>
      </c>
      <c r="D4731" s="5" t="s">
        <v>18</v>
      </c>
      <c r="E4731" s="5" t="s">
        <v>471</v>
      </c>
      <c r="F4731" s="9">
        <v>51</v>
      </c>
      <c r="G4731" s="9">
        <v>605</v>
      </c>
      <c r="H4731" s="5" t="s">
        <v>20</v>
      </c>
      <c r="I4731" s="5" t="s">
        <v>10995</v>
      </c>
      <c r="J4731" s="12" t="str">
        <f>HYPERLINK("https://www.boe.es/gazeta/dias/1807/06/16/pdfs/GMD-1807-51.pdf#page=7","Abrir facsímil")</f>
        <v>Abrir facsímil</v>
      </c>
      <c r="K4731" s="15" t="s">
        <v>22</v>
      </c>
    </row>
    <row r="4732" spans="1:11" ht="42" customHeight="1">
      <c r="A4732" s="4" t="s">
        <v>10996</v>
      </c>
      <c r="B4732" s="5" t="s">
        <v>10997</v>
      </c>
      <c r="C4732" s="5" t="s">
        <v>24</v>
      </c>
      <c r="D4732" s="5" t="s">
        <v>18</v>
      </c>
      <c r="E4732" s="5" t="s">
        <v>120</v>
      </c>
      <c r="F4732" s="9">
        <v>10</v>
      </c>
      <c r="G4732" s="9">
        <v>115</v>
      </c>
      <c r="H4732" s="5" t="s">
        <v>20</v>
      </c>
      <c r="I4732" s="5" t="s">
        <v>10998</v>
      </c>
      <c r="J4732" s="12" t="str">
        <f>HYPERLINK("https://www.boe.es/gazeta/dias/1807/01/27/pdfs/GMD-1807-10.pdf#page=11","Abrir facsímil")</f>
        <v>Abrir facsímil</v>
      </c>
      <c r="K4732" s="15" t="s">
        <v>22</v>
      </c>
    </row>
    <row r="4733" spans="1:11" ht="42" customHeight="1">
      <c r="A4733" s="4" t="s">
        <v>10999</v>
      </c>
      <c r="B4733" s="5" t="s">
        <v>11000</v>
      </c>
      <c r="C4733" s="5" t="s">
        <v>49</v>
      </c>
      <c r="D4733" s="5" t="s">
        <v>50</v>
      </c>
      <c r="E4733" s="5" t="s">
        <v>79</v>
      </c>
      <c r="F4733" s="9">
        <v>11</v>
      </c>
      <c r="G4733" s="9">
        <v>122</v>
      </c>
      <c r="H4733" s="5" t="s">
        <v>20</v>
      </c>
      <c r="I4733" s="5" t="s">
        <v>11001</v>
      </c>
      <c r="J4733" s="12" t="str">
        <f>HYPERLINK("https://www.boe.es/gazeta/dias/1807/01/30/pdfs/GMD-1807-11.pdf#page=6","Abrir facsímil")</f>
        <v>Abrir facsímil</v>
      </c>
      <c r="K4733" s="15" t="s">
        <v>22</v>
      </c>
    </row>
    <row r="4734" spans="1:11" ht="42" customHeight="1">
      <c r="A4734" s="4" t="s">
        <v>11002</v>
      </c>
      <c r="B4734" s="5" t="s">
        <v>11003</v>
      </c>
      <c r="C4734" s="5" t="s">
        <v>34</v>
      </c>
      <c r="D4734" s="5" t="s">
        <v>35</v>
      </c>
      <c r="E4734" s="5" t="s">
        <v>176</v>
      </c>
      <c r="F4734" s="9">
        <v>17</v>
      </c>
      <c r="G4734" s="9">
        <v>195</v>
      </c>
      <c r="H4734" s="5" t="s">
        <v>20</v>
      </c>
      <c r="I4734" s="5" t="s">
        <v>11004</v>
      </c>
      <c r="J4734" s="12" t="str">
        <f>HYPERLINK("https://www.boe.es/gazeta/dias/1807/02/20/pdfs/GMD-1807-17.pdf#page=7","Abrir facsímil")</f>
        <v>Abrir facsímil</v>
      </c>
      <c r="K4734" s="15" t="s">
        <v>22</v>
      </c>
    </row>
    <row r="4735" spans="1:11" ht="42" customHeight="1">
      <c r="A4735" s="4" t="s">
        <v>11005</v>
      </c>
      <c r="B4735" s="5" t="s">
        <v>11006</v>
      </c>
      <c r="C4735" s="5" t="s">
        <v>49</v>
      </c>
      <c r="D4735" s="5" t="s">
        <v>50</v>
      </c>
      <c r="E4735" s="5" t="s">
        <v>393</v>
      </c>
      <c r="F4735" s="9">
        <v>15</v>
      </c>
      <c r="G4735" s="9">
        <v>166</v>
      </c>
      <c r="H4735" s="5" t="s">
        <v>20</v>
      </c>
      <c r="I4735" s="5" t="s">
        <v>11007</v>
      </c>
      <c r="J4735" s="12" t="str">
        <f>HYPERLINK("https://www.boe.es/gazeta/dias/1807/02/13/pdfs/GMD-1807-15.pdf#page=2","Abrir facsímil")</f>
        <v>Abrir facsímil</v>
      </c>
      <c r="K4735" s="15" t="s">
        <v>22</v>
      </c>
    </row>
    <row r="4736" spans="1:11" ht="42" customHeight="1">
      <c r="A4736" s="4" t="s">
        <v>11008</v>
      </c>
      <c r="B4736" s="5" t="s">
        <v>11009</v>
      </c>
      <c r="C4736" s="5" t="s">
        <v>34</v>
      </c>
      <c r="D4736" s="5" t="s">
        <v>35</v>
      </c>
      <c r="E4736" s="5" t="s">
        <v>1076</v>
      </c>
      <c r="F4736" s="9">
        <v>96</v>
      </c>
      <c r="G4736" s="9">
        <v>1118</v>
      </c>
      <c r="H4736" s="5" t="s">
        <v>20</v>
      </c>
      <c r="I4736" s="5" t="s">
        <v>11010</v>
      </c>
      <c r="J4736" s="12" t="str">
        <f>HYPERLINK("https://www.boe.es/gazeta/dias/1807/10/27/pdfs/GMD-1807-96.pdf#page=10","Abrir facsímil")</f>
        <v>Abrir facsímil</v>
      </c>
      <c r="K4736" s="15" t="s">
        <v>22</v>
      </c>
    </row>
    <row r="4737" spans="1:11" ht="42" customHeight="1">
      <c r="A4737" s="4" t="s">
        <v>11011</v>
      </c>
      <c r="B4737" s="5" t="s">
        <v>11012</v>
      </c>
      <c r="C4737" s="5" t="s">
        <v>34</v>
      </c>
      <c r="D4737" s="5" t="s">
        <v>35</v>
      </c>
      <c r="E4737" s="5" t="s">
        <v>666</v>
      </c>
      <c r="F4737" s="9">
        <v>43</v>
      </c>
      <c r="G4737" s="9">
        <v>515</v>
      </c>
      <c r="H4737" s="5" t="s">
        <v>20</v>
      </c>
      <c r="I4737" s="5" t="s">
        <v>11013</v>
      </c>
      <c r="J4737" s="12" t="str">
        <f>HYPERLINK("https://www.boe.es/gazeta/dias/1807/05/19/pdfs/GMD-1807-43.pdf#page=9","Abrir facsímil")</f>
        <v>Abrir facsímil</v>
      </c>
      <c r="K4737" s="15" t="s">
        <v>22</v>
      </c>
    </row>
    <row r="4738" spans="1:11" ht="42" customHeight="1">
      <c r="A4738" s="4" t="s">
        <v>11014</v>
      </c>
      <c r="B4738" s="5" t="s">
        <v>11015</v>
      </c>
      <c r="C4738" s="5" t="s">
        <v>34</v>
      </c>
      <c r="D4738" s="5" t="s">
        <v>35</v>
      </c>
      <c r="E4738" s="5" t="s">
        <v>106</v>
      </c>
      <c r="F4738" s="9">
        <v>39</v>
      </c>
      <c r="G4738" s="9">
        <v>465</v>
      </c>
      <c r="H4738" s="5" t="s">
        <v>20</v>
      </c>
      <c r="I4738" s="5" t="s">
        <v>11016</v>
      </c>
      <c r="J4738" s="12" t="str">
        <f>HYPERLINK("https://www.boe.es/gazeta/dias/1807/05/05/pdfs/GMD-1807-39.pdf#page=7","Abrir facsímil")</f>
        <v>Abrir facsímil</v>
      </c>
      <c r="K4738" s="15" t="s">
        <v>22</v>
      </c>
    </row>
    <row r="4739" spans="1:11" ht="42" customHeight="1">
      <c r="A4739" s="4" t="s">
        <v>11017</v>
      </c>
      <c r="B4739" s="5" t="s">
        <v>11018</v>
      </c>
      <c r="C4739" s="5" t="s">
        <v>34</v>
      </c>
      <c r="D4739" s="5" t="s">
        <v>35</v>
      </c>
      <c r="E4739" s="5" t="s">
        <v>444</v>
      </c>
      <c r="F4739" s="9">
        <v>95</v>
      </c>
      <c r="G4739" s="9">
        <v>1107</v>
      </c>
      <c r="H4739" s="5" t="s">
        <v>20</v>
      </c>
      <c r="I4739" s="5" t="s">
        <v>11019</v>
      </c>
      <c r="J4739" s="12" t="str">
        <f>HYPERLINK("https://www.boe.es/gazeta/dias/1807/10/23/pdfs/GMD-1807-95.pdf#page=11","Abrir facsímil")</f>
        <v>Abrir facsímil</v>
      </c>
      <c r="K4739" s="15" t="s">
        <v>22</v>
      </c>
    </row>
    <row r="4740" spans="1:11" ht="42" customHeight="1">
      <c r="A4740" s="4" t="s">
        <v>11020</v>
      </c>
      <c r="B4740" s="5" t="s">
        <v>11021</v>
      </c>
      <c r="C4740" s="5" t="s">
        <v>24</v>
      </c>
      <c r="D4740" s="5" t="s">
        <v>18</v>
      </c>
      <c r="E4740" s="5" t="s">
        <v>127</v>
      </c>
      <c r="F4740" s="9">
        <v>81</v>
      </c>
      <c r="G4740" s="9">
        <v>948</v>
      </c>
      <c r="H4740" s="5" t="s">
        <v>20</v>
      </c>
      <c r="I4740" s="5" t="s">
        <v>11022</v>
      </c>
      <c r="J4740" s="12" t="str">
        <f>HYPERLINK("https://www.boe.es/gazeta/dias/1807/09/11/pdfs/GMD-1807-81.pdf#page=12","Abrir facsímil")</f>
        <v>Abrir facsímil</v>
      </c>
      <c r="K4740" s="15" t="s">
        <v>22</v>
      </c>
    </row>
    <row r="4741" spans="1:11" ht="42" customHeight="1">
      <c r="A4741" s="4" t="s">
        <v>11023</v>
      </c>
      <c r="B4741" s="5" t="s">
        <v>11024</v>
      </c>
      <c r="C4741" s="5" t="s">
        <v>24</v>
      </c>
      <c r="D4741" s="5" t="s">
        <v>18</v>
      </c>
      <c r="E4741" s="5" t="s">
        <v>418</v>
      </c>
      <c r="F4741" s="9">
        <v>4</v>
      </c>
      <c r="G4741" s="9">
        <v>44</v>
      </c>
      <c r="H4741" s="5" t="s">
        <v>20</v>
      </c>
      <c r="I4741" s="5" t="s">
        <v>11025</v>
      </c>
      <c r="J4741" s="12" t="str">
        <f>HYPERLINK("https://www.boe.es/gazeta/dias/1807/01/13/pdfs/GMD-1807-4.pdf#page=12","Abrir facsímil")</f>
        <v>Abrir facsímil</v>
      </c>
      <c r="K4741" s="15" t="s">
        <v>22</v>
      </c>
    </row>
    <row r="4742" spans="1:11" ht="42" customHeight="1">
      <c r="A4742" s="4" t="s">
        <v>11026</v>
      </c>
      <c r="B4742" s="5" t="s">
        <v>11027</v>
      </c>
      <c r="C4742" s="5" t="s">
        <v>17</v>
      </c>
      <c r="D4742" s="5" t="s">
        <v>18</v>
      </c>
      <c r="E4742" s="5" t="s">
        <v>120</v>
      </c>
      <c r="F4742" s="9">
        <v>10</v>
      </c>
      <c r="G4742" s="9">
        <v>115</v>
      </c>
      <c r="H4742" s="5" t="s">
        <v>20</v>
      </c>
      <c r="I4742" s="5" t="s">
        <v>11028</v>
      </c>
      <c r="J4742" s="12" t="str">
        <f>HYPERLINK("https://www.boe.es/gazeta/dias/1807/01/27/pdfs/GMD-1807-10.pdf#page=11","Abrir facsímil")</f>
        <v>Abrir facsímil</v>
      </c>
      <c r="K4742" s="15" t="s">
        <v>22</v>
      </c>
    </row>
    <row r="4743" spans="1:11" ht="42" customHeight="1">
      <c r="A4743" s="4" t="s">
        <v>11026</v>
      </c>
      <c r="B4743" s="5" t="s">
        <v>11027</v>
      </c>
      <c r="C4743" s="5" t="s">
        <v>24</v>
      </c>
      <c r="D4743" s="5" t="s">
        <v>18</v>
      </c>
      <c r="E4743" s="5" t="s">
        <v>190</v>
      </c>
      <c r="F4743" s="9">
        <v>37</v>
      </c>
      <c r="G4743" s="9">
        <v>444</v>
      </c>
      <c r="H4743" s="5" t="s">
        <v>20</v>
      </c>
      <c r="I4743" s="5" t="s">
        <v>11029</v>
      </c>
      <c r="J4743" s="12" t="str">
        <f>HYPERLINK("https://www.boe.es/gazeta/dias/1807/04/28/pdfs/GMD-1807-37.pdf#page=12","Abrir facsímil")</f>
        <v>Abrir facsímil</v>
      </c>
      <c r="K4743" s="15" t="s">
        <v>22</v>
      </c>
    </row>
    <row r="4744" spans="1:11" ht="42" customHeight="1">
      <c r="A4744" s="4" t="s">
        <v>11026</v>
      </c>
      <c r="B4744" s="5" t="s">
        <v>11027</v>
      </c>
      <c r="C4744" s="5" t="s">
        <v>24</v>
      </c>
      <c r="D4744" s="5" t="s">
        <v>18</v>
      </c>
      <c r="E4744" s="5" t="s">
        <v>561</v>
      </c>
      <c r="F4744" s="9">
        <v>44</v>
      </c>
      <c r="G4744" s="9">
        <v>529</v>
      </c>
      <c r="H4744" s="5" t="s">
        <v>20</v>
      </c>
      <c r="I4744" s="5" t="s">
        <v>11030</v>
      </c>
      <c r="J4744" s="12" t="str">
        <f>HYPERLINK("https://www.boe.es/gazeta/dias/1807/05/22/pdfs/GMD-1807-44.pdf#page=11","Abrir facsímil")</f>
        <v>Abrir facsímil</v>
      </c>
      <c r="K4744" s="15" t="s">
        <v>22</v>
      </c>
    </row>
    <row r="4745" spans="1:11" ht="42" customHeight="1">
      <c r="A4745" s="4" t="s">
        <v>11026</v>
      </c>
      <c r="B4745" s="5" t="s">
        <v>11027</v>
      </c>
      <c r="C4745" s="5" t="s">
        <v>17</v>
      </c>
      <c r="D4745" s="5" t="s">
        <v>18</v>
      </c>
      <c r="E4745" s="5" t="s">
        <v>156</v>
      </c>
      <c r="F4745" s="9">
        <v>74</v>
      </c>
      <c r="G4745" s="9">
        <v>859</v>
      </c>
      <c r="H4745" s="5" t="s">
        <v>20</v>
      </c>
      <c r="I4745" s="5" t="s">
        <v>11031</v>
      </c>
      <c r="J4745" s="12" t="str">
        <f>HYPERLINK("https://www.boe.es/gazeta/dias/1807/08/18/pdfs/GMD-1807-74.pdf#page=11","Abrir facsímil")</f>
        <v>Abrir facsímil</v>
      </c>
      <c r="K4745" s="15" t="s">
        <v>22</v>
      </c>
    </row>
    <row r="4746" spans="1:11" ht="42" customHeight="1">
      <c r="A4746" s="4" t="s">
        <v>11026</v>
      </c>
      <c r="B4746" s="5" t="s">
        <v>11027</v>
      </c>
      <c r="C4746" s="5" t="s">
        <v>24</v>
      </c>
      <c r="D4746" s="5" t="s">
        <v>18</v>
      </c>
      <c r="E4746" s="5" t="s">
        <v>406</v>
      </c>
      <c r="F4746" s="9">
        <v>82</v>
      </c>
      <c r="G4746" s="9">
        <v>959</v>
      </c>
      <c r="H4746" s="5" t="s">
        <v>20</v>
      </c>
      <c r="I4746" s="5" t="s">
        <v>11032</v>
      </c>
      <c r="J4746" s="12" t="str">
        <f>HYPERLINK("https://www.boe.es/gazeta/dias/1807/09/15/pdfs/GMD-1807-82.pdf#page=11","Abrir facsímil")</f>
        <v>Abrir facsímil</v>
      </c>
      <c r="K4746" s="15" t="s">
        <v>22</v>
      </c>
    </row>
    <row r="4747" spans="1:11" ht="42" customHeight="1">
      <c r="A4747" s="4" t="s">
        <v>11026</v>
      </c>
      <c r="B4747" s="5" t="s">
        <v>11027</v>
      </c>
      <c r="C4747" s="5" t="s">
        <v>24</v>
      </c>
      <c r="D4747" s="5" t="s">
        <v>18</v>
      </c>
      <c r="E4747" s="5" t="s">
        <v>1076</v>
      </c>
      <c r="F4747" s="9">
        <v>96</v>
      </c>
      <c r="G4747" s="9">
        <v>1119</v>
      </c>
      <c r="H4747" s="5" t="s">
        <v>20</v>
      </c>
      <c r="I4747" s="5" t="s">
        <v>11033</v>
      </c>
      <c r="J4747" s="12" t="str">
        <f>HYPERLINK("https://www.boe.es/gazeta/dias/1807/10/27/pdfs/GMD-1807-96.pdf#page=11","Abrir facsímil")</f>
        <v>Abrir facsímil</v>
      </c>
      <c r="K4747" s="15" t="s">
        <v>22</v>
      </c>
    </row>
    <row r="4748" spans="1:11" ht="42" customHeight="1">
      <c r="A4748" s="4" t="s">
        <v>11034</v>
      </c>
      <c r="B4748" s="5" t="s">
        <v>11035</v>
      </c>
      <c r="C4748" s="5" t="s">
        <v>24</v>
      </c>
      <c r="D4748" s="5" t="s">
        <v>18</v>
      </c>
      <c r="E4748" s="5" t="s">
        <v>275</v>
      </c>
      <c r="F4748" s="9">
        <v>104</v>
      </c>
      <c r="G4748" s="9">
        <v>1216</v>
      </c>
      <c r="H4748" s="5" t="s">
        <v>20</v>
      </c>
      <c r="I4748" s="5" t="s">
        <v>11036</v>
      </c>
      <c r="J4748" s="12" t="str">
        <f>HYPERLINK("https://www.boe.es/gazeta/dias/1807/11/24/pdfs/GMD-1807-104.pdf#page=12","Abrir facsímil")</f>
        <v>Abrir facsímil</v>
      </c>
      <c r="K4748" s="15" t="s">
        <v>22</v>
      </c>
    </row>
    <row r="4749" spans="1:11" ht="42" customHeight="1">
      <c r="A4749" s="4" t="s">
        <v>11026</v>
      </c>
      <c r="B4749" s="5" t="s">
        <v>11027</v>
      </c>
      <c r="C4749" s="5" t="s">
        <v>24</v>
      </c>
      <c r="D4749" s="5" t="s">
        <v>18</v>
      </c>
      <c r="E4749" s="5" t="s">
        <v>327</v>
      </c>
      <c r="F4749" s="9">
        <v>108</v>
      </c>
      <c r="G4749" s="9">
        <v>1263</v>
      </c>
      <c r="H4749" s="5" t="s">
        <v>20</v>
      </c>
      <c r="I4749" s="5" t="s">
        <v>11037</v>
      </c>
      <c r="J4749" s="12" t="str">
        <f>HYPERLINK("https://www.boe.es/gazeta/dias/1807/12/04/pdfs/GMD-1807-108.pdf#page=11","Abrir facsímil")</f>
        <v>Abrir facsímil</v>
      </c>
      <c r="K4749" s="15" t="s">
        <v>22</v>
      </c>
    </row>
    <row r="4750" spans="1:11" ht="42" customHeight="1">
      <c r="A4750" s="4" t="s">
        <v>11026</v>
      </c>
      <c r="B4750" s="5" t="s">
        <v>11027</v>
      </c>
      <c r="C4750" s="5" t="s">
        <v>24</v>
      </c>
      <c r="D4750" s="5" t="s">
        <v>18</v>
      </c>
      <c r="E4750" s="5" t="s">
        <v>91</v>
      </c>
      <c r="F4750" s="9">
        <v>109</v>
      </c>
      <c r="G4750" s="9">
        <v>1274</v>
      </c>
      <c r="H4750" s="5" t="s">
        <v>20</v>
      </c>
      <c r="I4750" s="5" t="s">
        <v>11038</v>
      </c>
      <c r="J4750" s="12" t="str">
        <f>HYPERLINK("https://www.boe.es/gazeta/dias/1807/12/08/pdfs/GMD-1807-109.pdf#page=10","Abrir facsímil")</f>
        <v>Abrir facsímil</v>
      </c>
      <c r="K4750" s="15" t="s">
        <v>22</v>
      </c>
    </row>
    <row r="4751" spans="1:11" ht="42" customHeight="1">
      <c r="A4751" s="4" t="s">
        <v>11026</v>
      </c>
      <c r="B4751" s="5" t="s">
        <v>11027</v>
      </c>
      <c r="C4751" s="5" t="s">
        <v>24</v>
      </c>
      <c r="D4751" s="5" t="s">
        <v>18</v>
      </c>
      <c r="E4751" s="5" t="s">
        <v>91</v>
      </c>
      <c r="F4751" s="9">
        <v>109</v>
      </c>
      <c r="G4751" s="9">
        <v>1275</v>
      </c>
      <c r="H4751" s="5" t="s">
        <v>20</v>
      </c>
      <c r="I4751" s="5" t="s">
        <v>11039</v>
      </c>
      <c r="J4751" s="12" t="str">
        <f>HYPERLINK("https://www.boe.es/gazeta/dias/1807/12/08/pdfs/GMD-1807-109.pdf#page=11","Abrir facsímil")</f>
        <v>Abrir facsímil</v>
      </c>
      <c r="K4751" s="15" t="s">
        <v>22</v>
      </c>
    </row>
    <row r="4752" spans="1:11" ht="42" customHeight="1">
      <c r="A4752" s="4" t="s">
        <v>11040</v>
      </c>
      <c r="B4752" s="5" t="s">
        <v>11041</v>
      </c>
      <c r="C4752" s="5" t="s">
        <v>34</v>
      </c>
      <c r="D4752" s="5" t="s">
        <v>35</v>
      </c>
      <c r="E4752" s="5" t="s">
        <v>793</v>
      </c>
      <c r="F4752" s="9">
        <v>87</v>
      </c>
      <c r="G4752" s="9">
        <v>1008</v>
      </c>
      <c r="H4752" s="5" t="s">
        <v>20</v>
      </c>
      <c r="I4752" s="5" t="s">
        <v>11042</v>
      </c>
      <c r="J4752" s="12" t="str">
        <f>HYPERLINK("https://www.boe.es/gazeta/dias/1807/09/29/pdfs/GMD-1807-87.pdf#page=8","Abrir facsímil")</f>
        <v>Abrir facsímil</v>
      </c>
      <c r="K4752" s="15" t="s">
        <v>22</v>
      </c>
    </row>
    <row r="4753" spans="1:11" ht="42" customHeight="1">
      <c r="A4753" s="4" t="s">
        <v>11043</v>
      </c>
      <c r="B4753" s="5" t="s">
        <v>11043</v>
      </c>
      <c r="C4753" s="5" t="s">
        <v>34</v>
      </c>
      <c r="D4753" s="5" t="s">
        <v>35</v>
      </c>
      <c r="E4753" s="5" t="s">
        <v>208</v>
      </c>
      <c r="F4753" s="9">
        <v>42</v>
      </c>
      <c r="G4753" s="9">
        <v>502</v>
      </c>
      <c r="H4753" s="5" t="s">
        <v>20</v>
      </c>
      <c r="I4753" s="5" t="s">
        <v>11044</v>
      </c>
      <c r="J4753" s="12" t="str">
        <f>HYPERLINK("https://www.boe.es/gazeta/dias/1807/05/15/pdfs/GMD-1807-42.pdf#page=8","Abrir facsímil")</f>
        <v>Abrir facsímil</v>
      </c>
      <c r="K4753" s="15" t="s">
        <v>22</v>
      </c>
    </row>
    <row r="4754" spans="1:11" ht="42" customHeight="1">
      <c r="A4754" s="4" t="s">
        <v>11045</v>
      </c>
      <c r="B4754" s="5" t="s">
        <v>11046</v>
      </c>
      <c r="C4754" s="5" t="s">
        <v>34</v>
      </c>
      <c r="D4754" s="5" t="s">
        <v>35</v>
      </c>
      <c r="E4754" s="5" t="s">
        <v>319</v>
      </c>
      <c r="F4754" s="9">
        <v>54</v>
      </c>
      <c r="G4754" s="9">
        <v>645</v>
      </c>
      <c r="H4754" s="5" t="s">
        <v>20</v>
      </c>
      <c r="I4754" s="5" t="s">
        <v>11047</v>
      </c>
      <c r="J4754" s="12" t="str">
        <f>HYPERLINK("https://www.boe.es/gazeta/dias/1807/06/26/pdfs/GMD-1807-54.pdf#page=7","Abrir facsímil")</f>
        <v>Abrir facsímil</v>
      </c>
      <c r="K4754" s="15" t="s">
        <v>22</v>
      </c>
    </row>
    <row r="4755" spans="1:11" ht="42" customHeight="1">
      <c r="A4755" s="4" t="s">
        <v>11048</v>
      </c>
      <c r="B4755" s="5" t="s">
        <v>11048</v>
      </c>
      <c r="C4755" s="5" t="s">
        <v>89</v>
      </c>
      <c r="D4755" s="5" t="s">
        <v>90</v>
      </c>
      <c r="E4755" s="5" t="s">
        <v>25</v>
      </c>
      <c r="F4755" s="9">
        <v>45</v>
      </c>
      <c r="G4755" s="9">
        <v>533</v>
      </c>
      <c r="H4755" s="5" t="s">
        <v>20</v>
      </c>
      <c r="I4755" s="5" t="s">
        <v>11049</v>
      </c>
      <c r="J4755" s="12" t="str">
        <f>HYPERLINK("https://www.boe.es/gazeta/dias/1807/05/26/pdfs/GMD-1807-45.pdf#page=3","Abrir facsímil")</f>
        <v>Abrir facsímil</v>
      </c>
      <c r="K4755" s="15" t="s">
        <v>22</v>
      </c>
    </row>
    <row r="4756" spans="1:11" ht="42" customHeight="1">
      <c r="A4756" s="4" t="s">
        <v>11050</v>
      </c>
      <c r="B4756" s="5" t="s">
        <v>11051</v>
      </c>
      <c r="C4756" s="5" t="s">
        <v>34</v>
      </c>
      <c r="D4756" s="5" t="s">
        <v>35</v>
      </c>
      <c r="E4756" s="5" t="s">
        <v>109</v>
      </c>
      <c r="F4756" s="9">
        <v>58</v>
      </c>
      <c r="G4756" s="9">
        <v>688</v>
      </c>
      <c r="H4756" s="5" t="s">
        <v>20</v>
      </c>
      <c r="I4756" s="5" t="s">
        <v>11052</v>
      </c>
      <c r="J4756" s="12" t="str">
        <f>HYPERLINK("https://www.boe.es/gazeta/dias/1807/07/07/pdfs/GMD-1807-58.pdf#page=6","Abrir facsímil")</f>
        <v>Abrir facsímil</v>
      </c>
      <c r="K4756" s="15" t="s">
        <v>22</v>
      </c>
    </row>
    <row r="4757" spans="1:11" ht="42" customHeight="1">
      <c r="A4757" s="4" t="s">
        <v>11053</v>
      </c>
      <c r="B4757" s="5" t="s">
        <v>11053</v>
      </c>
      <c r="C4757" s="5" t="s">
        <v>34</v>
      </c>
      <c r="D4757" s="5" t="s">
        <v>35</v>
      </c>
      <c r="E4757" s="5" t="s">
        <v>156</v>
      </c>
      <c r="F4757" s="9">
        <v>74</v>
      </c>
      <c r="G4757" s="9">
        <v>856</v>
      </c>
      <c r="H4757" s="5" t="s">
        <v>20</v>
      </c>
      <c r="I4757" s="5" t="s">
        <v>11054</v>
      </c>
      <c r="J4757" s="12" t="str">
        <f>HYPERLINK("https://www.boe.es/gazeta/dias/1807/08/18/pdfs/GMD-1807-74.pdf#page=8","Abrir facsímil")</f>
        <v>Abrir facsímil</v>
      </c>
      <c r="K4757" s="15" t="s">
        <v>22</v>
      </c>
    </row>
    <row r="4758" spans="1:11" ht="42" customHeight="1">
      <c r="A4758" s="4" t="s">
        <v>11055</v>
      </c>
      <c r="B4758" s="5" t="s">
        <v>11056</v>
      </c>
      <c r="C4758" s="5" t="s">
        <v>34</v>
      </c>
      <c r="D4758" s="5" t="s">
        <v>35</v>
      </c>
      <c r="E4758" s="5" t="s">
        <v>309</v>
      </c>
      <c r="F4758" s="9">
        <v>107</v>
      </c>
      <c r="G4758" s="9">
        <v>1247</v>
      </c>
      <c r="H4758" s="5" t="s">
        <v>20</v>
      </c>
      <c r="I4758" s="5" t="s">
        <v>11057</v>
      </c>
      <c r="J4758" s="12" t="str">
        <f>HYPERLINK("https://www.boe.es/gazeta/dias/1807/12/01/pdfs/GMD-1807-107.pdf#page=7","Abrir facsímil")</f>
        <v>Abrir facsímil</v>
      </c>
      <c r="K4758" s="15" t="s">
        <v>22</v>
      </c>
    </row>
    <row r="4759" spans="1:11" ht="42" customHeight="1">
      <c r="A4759" s="4" t="s">
        <v>11058</v>
      </c>
      <c r="B4759" s="5" t="s">
        <v>11059</v>
      </c>
      <c r="C4759" s="5" t="s">
        <v>34</v>
      </c>
      <c r="D4759" s="5" t="s">
        <v>35</v>
      </c>
      <c r="E4759" s="5" t="s">
        <v>25</v>
      </c>
      <c r="F4759" s="9">
        <v>45</v>
      </c>
      <c r="G4759" s="9">
        <v>537</v>
      </c>
      <c r="H4759" s="5" t="s">
        <v>20</v>
      </c>
      <c r="I4759" s="5" t="s">
        <v>11060</v>
      </c>
      <c r="J4759" s="12" t="str">
        <f>HYPERLINK("https://www.boe.es/gazeta/dias/1807/05/26/pdfs/GMD-1807-45.pdf#page=7","Abrir facsímil")</f>
        <v>Abrir facsímil</v>
      </c>
      <c r="K4759" s="15" t="s">
        <v>22</v>
      </c>
    </row>
    <row r="4760" spans="1:11" ht="42" customHeight="1">
      <c r="A4760" s="4" t="s">
        <v>11061</v>
      </c>
      <c r="B4760" s="5" t="s">
        <v>11062</v>
      </c>
      <c r="C4760" s="5" t="s">
        <v>34</v>
      </c>
      <c r="D4760" s="5" t="s">
        <v>35</v>
      </c>
      <c r="E4760" s="5" t="s">
        <v>376</v>
      </c>
      <c r="F4760" s="9">
        <v>19</v>
      </c>
      <c r="G4760" s="9">
        <v>226</v>
      </c>
      <c r="H4760" s="5" t="s">
        <v>20</v>
      </c>
      <c r="I4760" s="5" t="s">
        <v>11063</v>
      </c>
      <c r="J4760" s="12" t="str">
        <f>HYPERLINK("https://www.boe.es/gazeta/dias/1807/02/27/pdfs/GMD-1807-19.pdf#page=10","Abrir facsímil")</f>
        <v>Abrir facsímil</v>
      </c>
      <c r="K4760" s="15" t="s">
        <v>22</v>
      </c>
    </row>
    <row r="4761" spans="1:11" ht="42" customHeight="1">
      <c r="A4761" s="4" t="s">
        <v>11064</v>
      </c>
      <c r="B4761" s="5" t="s">
        <v>11065</v>
      </c>
      <c r="C4761" s="5" t="s">
        <v>34</v>
      </c>
      <c r="D4761" s="5" t="s">
        <v>35</v>
      </c>
      <c r="E4761" s="5" t="s">
        <v>471</v>
      </c>
      <c r="F4761" s="9">
        <v>51</v>
      </c>
      <c r="G4761" s="9">
        <v>605</v>
      </c>
      <c r="H4761" s="5" t="s">
        <v>20</v>
      </c>
      <c r="I4761" s="5" t="s">
        <v>11066</v>
      </c>
      <c r="J4761" s="12" t="str">
        <f>HYPERLINK("https://www.boe.es/gazeta/dias/1807/06/16/pdfs/GMD-1807-51.pdf#page=7","Abrir facsímil")</f>
        <v>Abrir facsímil</v>
      </c>
      <c r="K4761" s="15" t="s">
        <v>22</v>
      </c>
    </row>
    <row r="4762" spans="1:11" ht="42" customHeight="1">
      <c r="A4762" s="4" t="s">
        <v>11067</v>
      </c>
      <c r="B4762" s="5" t="s">
        <v>11068</v>
      </c>
      <c r="C4762" s="5" t="s">
        <v>49</v>
      </c>
      <c r="D4762" s="5" t="s">
        <v>50</v>
      </c>
      <c r="E4762" s="5" t="s">
        <v>305</v>
      </c>
      <c r="F4762" s="9">
        <v>53</v>
      </c>
      <c r="G4762" s="9">
        <v>629</v>
      </c>
      <c r="H4762" s="5" t="s">
        <v>20</v>
      </c>
      <c r="I4762" s="5" t="s">
        <v>11069</v>
      </c>
      <c r="J4762" s="12" t="str">
        <f>HYPERLINK("https://www.boe.es/gazeta/dias/1807/06/23/pdfs/GMD-1807-53.pdf#page=3","Abrir facsímil")</f>
        <v>Abrir facsímil</v>
      </c>
      <c r="K4762" s="15" t="s">
        <v>22</v>
      </c>
    </row>
    <row r="4763" spans="1:11" ht="42" customHeight="1">
      <c r="A4763" s="4" t="s">
        <v>11070</v>
      </c>
      <c r="B4763" s="5" t="s">
        <v>11071</v>
      </c>
      <c r="C4763" s="5" t="s">
        <v>28</v>
      </c>
      <c r="D4763" s="5" t="s">
        <v>29</v>
      </c>
      <c r="E4763" s="5" t="s">
        <v>42</v>
      </c>
      <c r="F4763" s="9">
        <v>31</v>
      </c>
      <c r="G4763" s="9">
        <v>367</v>
      </c>
      <c r="H4763" s="5" t="s">
        <v>20</v>
      </c>
      <c r="I4763" s="5" t="s">
        <v>11072</v>
      </c>
      <c r="J4763" s="12" t="str">
        <f>HYPERLINK("https://www.boe.es/gazeta/dias/1807/04/07/pdfs/GMD-1807-31.pdf#page=7","Abrir facsímil")</f>
        <v>Abrir facsímil</v>
      </c>
      <c r="K4763" s="15" t="s">
        <v>22</v>
      </c>
    </row>
    <row r="4764" spans="1:11" ht="42" customHeight="1">
      <c r="A4764" s="4" t="s">
        <v>11070</v>
      </c>
      <c r="B4764" s="5" t="s">
        <v>11071</v>
      </c>
      <c r="C4764" s="5" t="s">
        <v>28</v>
      </c>
      <c r="D4764" s="5" t="s">
        <v>29</v>
      </c>
      <c r="E4764" s="5" t="s">
        <v>186</v>
      </c>
      <c r="F4764" s="9">
        <v>72</v>
      </c>
      <c r="G4764" s="9">
        <v>828</v>
      </c>
      <c r="H4764" s="5" t="s">
        <v>20</v>
      </c>
      <c r="I4764" s="5" t="s">
        <v>11073</v>
      </c>
      <c r="J4764" s="12" t="str">
        <f>HYPERLINK("https://www.boe.es/gazeta/dias/1807/08/11/pdfs/GMD-1807-72.pdf#page=8","Abrir facsímil")</f>
        <v>Abrir facsímil</v>
      </c>
      <c r="K4764" s="15" t="s">
        <v>22</v>
      </c>
    </row>
    <row r="4765" spans="1:11" ht="42" customHeight="1">
      <c r="A4765" s="4" t="s">
        <v>11074</v>
      </c>
      <c r="B4765" s="5" t="s">
        <v>11075</v>
      </c>
      <c r="C4765" s="5" t="s">
        <v>28</v>
      </c>
      <c r="D4765" s="5" t="s">
        <v>29</v>
      </c>
      <c r="E4765" s="5" t="s">
        <v>53</v>
      </c>
      <c r="F4765" s="9">
        <v>64</v>
      </c>
      <c r="G4765" s="9">
        <v>748</v>
      </c>
      <c r="H4765" s="5" t="s">
        <v>20</v>
      </c>
      <c r="I4765" s="5" t="s">
        <v>11076</v>
      </c>
      <c r="J4765" s="12" t="str">
        <f>HYPERLINK("https://www.boe.es/gazeta/dias/1807/07/21/pdfs/GMD-1807-64.pdf#page=10","Abrir facsímil")</f>
        <v>Abrir facsímil</v>
      </c>
      <c r="K4765" s="15" t="s">
        <v>22</v>
      </c>
    </row>
    <row r="4766" spans="1:11" ht="42" customHeight="1">
      <c r="A4766" s="4" t="s">
        <v>11077</v>
      </c>
      <c r="B4766" s="5" t="s">
        <v>11077</v>
      </c>
      <c r="C4766" s="5" t="s">
        <v>34</v>
      </c>
      <c r="D4766" s="5" t="s">
        <v>35</v>
      </c>
      <c r="E4766" s="5" t="s">
        <v>120</v>
      </c>
      <c r="F4766" s="9">
        <v>10</v>
      </c>
      <c r="G4766" s="9">
        <v>111</v>
      </c>
      <c r="H4766" s="5" t="s">
        <v>20</v>
      </c>
      <c r="I4766" s="5" t="s">
        <v>11078</v>
      </c>
      <c r="J4766" s="12" t="str">
        <f>HYPERLINK("https://www.boe.es/gazeta/dias/1807/01/27/pdfs/GMD-1807-10.pdf#page=7","Abrir facsímil")</f>
        <v>Abrir facsímil</v>
      </c>
      <c r="K4766" s="15" t="s">
        <v>22</v>
      </c>
    </row>
    <row r="4767" spans="1:11" ht="42" customHeight="1">
      <c r="A4767" s="4" t="s">
        <v>11079</v>
      </c>
      <c r="B4767" s="5" t="s">
        <v>11079</v>
      </c>
      <c r="C4767" s="5" t="s">
        <v>34</v>
      </c>
      <c r="D4767" s="5" t="s">
        <v>35</v>
      </c>
      <c r="E4767" s="5" t="s">
        <v>581</v>
      </c>
      <c r="F4767" s="9">
        <v>71</v>
      </c>
      <c r="G4767" s="9">
        <v>815</v>
      </c>
      <c r="H4767" s="5" t="s">
        <v>20</v>
      </c>
      <c r="I4767" s="5" t="s">
        <v>11080</v>
      </c>
      <c r="J4767" s="12" t="str">
        <f>HYPERLINK("https://www.boe.es/gazeta/dias/1807/08/07/pdfs/GMD-1807-71.pdf#page=7","Abrir facsímil")</f>
        <v>Abrir facsímil</v>
      </c>
      <c r="K4767" s="15" t="s">
        <v>22</v>
      </c>
    </row>
    <row r="4768" spans="1:11" ht="42" customHeight="1">
      <c r="A4768" s="4" t="s">
        <v>11081</v>
      </c>
      <c r="B4768" s="5" t="s">
        <v>11082</v>
      </c>
      <c r="C4768" s="5" t="s">
        <v>89</v>
      </c>
      <c r="D4768" s="5" t="s">
        <v>90</v>
      </c>
      <c r="E4768" s="5" t="s">
        <v>190</v>
      </c>
      <c r="F4768" s="9">
        <v>37</v>
      </c>
      <c r="G4768" s="9">
        <v>443</v>
      </c>
      <c r="H4768" s="5" t="s">
        <v>20</v>
      </c>
      <c r="I4768" s="5" t="s">
        <v>11083</v>
      </c>
      <c r="J4768" s="12" t="str">
        <f>HYPERLINK("https://www.boe.es/gazeta/dias/1807/04/28/pdfs/GMD-1807-37.pdf#page=11","Abrir facsímil")</f>
        <v>Abrir facsímil</v>
      </c>
      <c r="K4768" s="15" t="s">
        <v>22</v>
      </c>
    </row>
    <row r="4769" spans="1:11" ht="42" customHeight="1">
      <c r="A4769" s="4" t="s">
        <v>11081</v>
      </c>
      <c r="B4769" s="5" t="s">
        <v>11082</v>
      </c>
      <c r="C4769" s="5" t="s">
        <v>24</v>
      </c>
      <c r="D4769" s="5" t="s">
        <v>18</v>
      </c>
      <c r="E4769" s="5" t="s">
        <v>19</v>
      </c>
      <c r="F4769" s="9">
        <v>41</v>
      </c>
      <c r="G4769" s="9">
        <v>492</v>
      </c>
      <c r="H4769" s="5" t="s">
        <v>20</v>
      </c>
      <c r="I4769" s="5" t="s">
        <v>11084</v>
      </c>
      <c r="J4769" s="12" t="str">
        <f>HYPERLINK("https://www.boe.es/gazeta/dias/1807/05/12/pdfs/GMD-1807-41.pdf#page=10","Abrir facsímil")</f>
        <v>Abrir facsímil</v>
      </c>
      <c r="K4769" s="15" t="s">
        <v>22</v>
      </c>
    </row>
    <row r="4770" spans="1:11" ht="42" customHeight="1">
      <c r="A4770" s="4" t="s">
        <v>11085</v>
      </c>
      <c r="B4770" s="5" t="s">
        <v>11086</v>
      </c>
      <c r="C4770" s="5" t="s">
        <v>34</v>
      </c>
      <c r="D4770" s="5" t="s">
        <v>35</v>
      </c>
      <c r="E4770" s="5" t="s">
        <v>36</v>
      </c>
      <c r="F4770" s="9">
        <v>36</v>
      </c>
      <c r="G4770" s="9">
        <v>430</v>
      </c>
      <c r="H4770" s="5" t="s">
        <v>20</v>
      </c>
      <c r="I4770" s="5" t="s">
        <v>11087</v>
      </c>
      <c r="J4770" s="12" t="str">
        <f>HYPERLINK("https://www.boe.es/gazeta/dias/1807/04/24/pdfs/GMD-1807-36.pdf#page=10","Abrir facsímil")</f>
        <v>Abrir facsímil</v>
      </c>
      <c r="K4770" s="15" t="s">
        <v>22</v>
      </c>
    </row>
    <row r="4771" spans="1:11" ht="42" customHeight="1">
      <c r="A4771" s="4" t="s">
        <v>11088</v>
      </c>
      <c r="B4771" s="5" t="s">
        <v>11089</v>
      </c>
      <c r="C4771" s="5" t="s">
        <v>28</v>
      </c>
      <c r="D4771" s="5" t="s">
        <v>29</v>
      </c>
      <c r="E4771" s="5" t="s">
        <v>86</v>
      </c>
      <c r="F4771" s="9">
        <v>12</v>
      </c>
      <c r="G4771" s="9">
        <v>137</v>
      </c>
      <c r="H4771" s="5" t="s">
        <v>20</v>
      </c>
      <c r="I4771" s="5" t="s">
        <v>11090</v>
      </c>
      <c r="J4771" s="12" t="str">
        <f>HYPERLINK("https://www.boe.es/gazeta/dias/1807/02/03/pdfs/GMD-1807-12.pdf#page=9","Abrir facsímil")</f>
        <v>Abrir facsímil</v>
      </c>
      <c r="K4771" s="15" t="s">
        <v>22</v>
      </c>
    </row>
    <row r="4772" spans="1:11" ht="42" customHeight="1">
      <c r="A4772" s="4" t="s">
        <v>11091</v>
      </c>
      <c r="B4772" s="5" t="s">
        <v>11092</v>
      </c>
      <c r="C4772" s="5" t="s">
        <v>34</v>
      </c>
      <c r="D4772" s="5" t="s">
        <v>35</v>
      </c>
      <c r="E4772" s="5" t="s">
        <v>1456</v>
      </c>
      <c r="F4772" s="9">
        <v>98</v>
      </c>
      <c r="G4772" s="9">
        <v>1143</v>
      </c>
      <c r="H4772" s="5" t="s">
        <v>20</v>
      </c>
      <c r="I4772" s="5" t="s">
        <v>11093</v>
      </c>
      <c r="J4772" s="12" t="str">
        <f>HYPERLINK("https://www.boe.es/gazeta/dias/1807/11/03/pdfs/GMD-1807-98.pdf#page=11","Abrir facsímil")</f>
        <v>Abrir facsímil</v>
      </c>
      <c r="K4772" s="15" t="s">
        <v>22</v>
      </c>
    </row>
    <row r="4773" spans="1:11" ht="42" customHeight="1">
      <c r="A4773" s="4" t="s">
        <v>11094</v>
      </c>
      <c r="B4773" s="5" t="s">
        <v>11095</v>
      </c>
      <c r="C4773" s="5" t="s">
        <v>34</v>
      </c>
      <c r="D4773" s="5" t="s">
        <v>35</v>
      </c>
      <c r="E4773" s="5" t="s">
        <v>53</v>
      </c>
      <c r="F4773" s="9">
        <v>64</v>
      </c>
      <c r="G4773" s="9">
        <v>746</v>
      </c>
      <c r="H4773" s="5" t="s">
        <v>20</v>
      </c>
      <c r="I4773" s="5" t="s">
        <v>11096</v>
      </c>
      <c r="J4773" s="12" t="str">
        <f>HYPERLINK("https://www.boe.es/gazeta/dias/1807/07/21/pdfs/GMD-1807-64.pdf#page=8","Abrir facsímil")</f>
        <v>Abrir facsímil</v>
      </c>
      <c r="K4773" s="15" t="s">
        <v>22</v>
      </c>
    </row>
    <row r="4774" spans="1:11" ht="42" customHeight="1">
      <c r="A4774" s="4" t="s">
        <v>11097</v>
      </c>
      <c r="B4774" s="5" t="s">
        <v>11098</v>
      </c>
      <c r="C4774" s="5" t="s">
        <v>49</v>
      </c>
      <c r="D4774" s="5" t="s">
        <v>50</v>
      </c>
      <c r="E4774" s="5" t="s">
        <v>30</v>
      </c>
      <c r="F4774" s="9">
        <v>13</v>
      </c>
      <c r="G4774" s="9">
        <v>144</v>
      </c>
      <c r="H4774" s="5" t="s">
        <v>20</v>
      </c>
      <c r="I4774" s="5" t="s">
        <v>11099</v>
      </c>
      <c r="J4774" s="12" t="str">
        <f>HYPERLINK("https://www.boe.es/gazeta/dias/1807/02/06/pdfs/GMD-1807-13.pdf#page=4","Abrir facsímil")</f>
        <v>Abrir facsímil</v>
      </c>
      <c r="K4774" s="15" t="s">
        <v>22</v>
      </c>
    </row>
    <row r="4775" spans="1:11" ht="42" customHeight="1">
      <c r="A4775" s="4" t="s">
        <v>11100</v>
      </c>
      <c r="B4775" s="5" t="s">
        <v>11101</v>
      </c>
      <c r="C4775" s="5" t="s">
        <v>28</v>
      </c>
      <c r="D4775" s="5" t="s">
        <v>29</v>
      </c>
      <c r="E4775" s="5" t="s">
        <v>167</v>
      </c>
      <c r="F4775" s="9">
        <v>77</v>
      </c>
      <c r="G4775" s="9">
        <v>896</v>
      </c>
      <c r="H4775" s="5" t="s">
        <v>20</v>
      </c>
      <c r="I4775" s="5" t="s">
        <v>11102</v>
      </c>
      <c r="J4775" s="12" t="str">
        <f>HYPERLINK("https://www.boe.es/gazeta/dias/1807/08/28/pdfs/GMD-1807-77.pdf#page=12","Abrir facsímil")</f>
        <v>Abrir facsímil</v>
      </c>
      <c r="K4775" s="15" t="s">
        <v>22</v>
      </c>
    </row>
    <row r="4776" spans="1:11" ht="42" customHeight="1">
      <c r="A4776" s="4" t="s">
        <v>11103</v>
      </c>
      <c r="B4776" s="5" t="s">
        <v>11104</v>
      </c>
      <c r="C4776" s="5" t="s">
        <v>24</v>
      </c>
      <c r="D4776" s="5" t="s">
        <v>18</v>
      </c>
      <c r="E4776" s="5" t="s">
        <v>615</v>
      </c>
      <c r="F4776" s="9" t="s">
        <v>616</v>
      </c>
      <c r="G4776" s="9">
        <v>1000</v>
      </c>
      <c r="H4776" s="5" t="s">
        <v>20</v>
      </c>
      <c r="I4776" s="5" t="s">
        <v>11105</v>
      </c>
      <c r="J4776" s="12" t="str">
        <f>HYPERLINK("https://www.boe.es/gazeta/dias/1807/09/27/pdfs/GMD-1807-86E.pdf#page=4","Abrir facsímil")</f>
        <v>Abrir facsímil</v>
      </c>
      <c r="K4776" s="15" t="s">
        <v>22</v>
      </c>
    </row>
    <row r="4777" spans="1:11" ht="42" customHeight="1">
      <c r="A4777" s="4" t="s">
        <v>11106</v>
      </c>
      <c r="B4777" s="5" t="s">
        <v>11107</v>
      </c>
      <c r="C4777" s="5" t="s">
        <v>34</v>
      </c>
      <c r="D4777" s="5" t="s">
        <v>35</v>
      </c>
      <c r="E4777" s="5" t="s">
        <v>208</v>
      </c>
      <c r="F4777" s="9">
        <v>42</v>
      </c>
      <c r="G4777" s="9">
        <v>502</v>
      </c>
      <c r="H4777" s="5" t="s">
        <v>20</v>
      </c>
      <c r="I4777" s="5" t="s">
        <v>11108</v>
      </c>
      <c r="J4777" s="12" t="str">
        <f>HYPERLINK("https://www.boe.es/gazeta/dias/1807/05/15/pdfs/GMD-1807-42.pdf#page=8","Abrir facsímil")</f>
        <v>Abrir facsímil</v>
      </c>
      <c r="K4777" s="15" t="s">
        <v>22</v>
      </c>
    </row>
    <row r="4778" spans="1:11" ht="42" customHeight="1">
      <c r="A4778" s="4" t="s">
        <v>11109</v>
      </c>
      <c r="B4778" s="5" t="s">
        <v>11109</v>
      </c>
      <c r="C4778" s="5" t="s">
        <v>17</v>
      </c>
      <c r="D4778" s="5" t="s">
        <v>18</v>
      </c>
      <c r="E4778" s="5" t="s">
        <v>135</v>
      </c>
      <c r="F4778" s="9">
        <v>80</v>
      </c>
      <c r="G4778" s="9">
        <v>932</v>
      </c>
      <c r="H4778" s="5" t="s">
        <v>20</v>
      </c>
      <c r="I4778" s="5" t="s">
        <v>11110</v>
      </c>
      <c r="J4778" s="12" t="str">
        <f>HYPERLINK("https://www.boe.es/gazeta/dias/1807/09/08/pdfs/GMD-1807-80.pdf#page=8","Abrir facsímil")</f>
        <v>Abrir facsímil</v>
      </c>
      <c r="K4778" s="15" t="s">
        <v>22</v>
      </c>
    </row>
    <row r="4779" spans="1:11" ht="42" customHeight="1">
      <c r="A4779" s="4" t="s">
        <v>11111</v>
      </c>
      <c r="B4779" s="5" t="s">
        <v>11112</v>
      </c>
      <c r="C4779" s="5" t="s">
        <v>24</v>
      </c>
      <c r="D4779" s="5" t="s">
        <v>18</v>
      </c>
      <c r="E4779" s="5" t="s">
        <v>414</v>
      </c>
      <c r="F4779" s="9">
        <v>40</v>
      </c>
      <c r="G4779" s="9">
        <v>480</v>
      </c>
      <c r="H4779" s="5" t="s">
        <v>20</v>
      </c>
      <c r="I4779" s="5" t="s">
        <v>11113</v>
      </c>
      <c r="J4779" s="12" t="str">
        <f>HYPERLINK("https://www.boe.es/gazeta/dias/1807/05/08/pdfs/GMD-1807-40.pdf#page=10","Abrir facsímil")</f>
        <v>Abrir facsímil</v>
      </c>
      <c r="K4779" s="15" t="s">
        <v>22</v>
      </c>
    </row>
    <row r="4780" spans="1:11" ht="42" customHeight="1">
      <c r="A4780" s="4" t="s">
        <v>11114</v>
      </c>
      <c r="B4780" s="5" t="s">
        <v>11115</v>
      </c>
      <c r="C4780" s="5" t="s">
        <v>34</v>
      </c>
      <c r="D4780" s="5" t="s">
        <v>35</v>
      </c>
      <c r="E4780" s="5" t="s">
        <v>390</v>
      </c>
      <c r="F4780" s="9">
        <v>24</v>
      </c>
      <c r="G4780" s="9">
        <v>287</v>
      </c>
      <c r="H4780" s="5" t="s">
        <v>20</v>
      </c>
      <c r="I4780" s="5" t="s">
        <v>11116</v>
      </c>
      <c r="J4780" s="12" t="str">
        <f>HYPERLINK("https://www.boe.es/gazeta/dias/1807/03/13/pdfs/GMD-1807-24.pdf#page=11","Abrir facsímil")</f>
        <v>Abrir facsímil</v>
      </c>
      <c r="K4780" s="15" t="s">
        <v>22</v>
      </c>
    </row>
    <row r="4781" spans="1:11" ht="42" customHeight="1">
      <c r="A4781" s="4" t="s">
        <v>11117</v>
      </c>
      <c r="B4781" s="5" t="s">
        <v>11118</v>
      </c>
      <c r="C4781" s="5" t="s">
        <v>24</v>
      </c>
      <c r="D4781" s="5" t="s">
        <v>18</v>
      </c>
      <c r="E4781" s="5" t="s">
        <v>98</v>
      </c>
      <c r="F4781" s="9">
        <v>34</v>
      </c>
      <c r="G4781" s="9">
        <v>404</v>
      </c>
      <c r="H4781" s="5" t="s">
        <v>20</v>
      </c>
      <c r="I4781" s="5" t="s">
        <v>11119</v>
      </c>
      <c r="J4781" s="12" t="str">
        <f>HYPERLINK("https://www.boe.es/gazeta/dias/1807/04/17/pdfs/GMD-1807-34.pdf#page=8","Abrir facsímil")</f>
        <v>Abrir facsímil</v>
      </c>
      <c r="K4781" s="15" t="s">
        <v>22</v>
      </c>
    </row>
    <row r="4782" spans="1:11" ht="42" customHeight="1">
      <c r="A4782" s="4" t="s">
        <v>11120</v>
      </c>
      <c r="B4782" s="5" t="s">
        <v>11121</v>
      </c>
      <c r="C4782" s="5" t="s">
        <v>34</v>
      </c>
      <c r="D4782" s="5" t="s">
        <v>35</v>
      </c>
      <c r="E4782" s="5" t="s">
        <v>426</v>
      </c>
      <c r="F4782" s="9">
        <v>93</v>
      </c>
      <c r="G4782" s="9">
        <v>1080</v>
      </c>
      <c r="H4782" s="5" t="s">
        <v>20</v>
      </c>
      <c r="I4782" s="5" t="s">
        <v>11122</v>
      </c>
      <c r="J4782" s="12" t="str">
        <f>HYPERLINK("https://www.boe.es/gazeta/dias/1807/10/16/pdfs/GMD-1807-93.pdf#page=8","Abrir facsímil")</f>
        <v>Abrir facsímil</v>
      </c>
      <c r="K4782" s="15" t="s">
        <v>22</v>
      </c>
    </row>
    <row r="4783" spans="1:11" ht="42" customHeight="1">
      <c r="A4783" s="4" t="s">
        <v>11123</v>
      </c>
      <c r="B4783" s="5" t="s">
        <v>11124</v>
      </c>
      <c r="C4783" s="5" t="s">
        <v>17</v>
      </c>
      <c r="D4783" s="5" t="s">
        <v>18</v>
      </c>
      <c r="E4783" s="5" t="s">
        <v>441</v>
      </c>
      <c r="F4783" s="9">
        <v>92</v>
      </c>
      <c r="G4783" s="9">
        <v>1068</v>
      </c>
      <c r="H4783" s="5" t="s">
        <v>20</v>
      </c>
      <c r="I4783" s="5" t="s">
        <v>11125</v>
      </c>
      <c r="J4783" s="12" t="str">
        <f>HYPERLINK("https://www.boe.es/gazeta/dias/1807/10/13/pdfs/GMD-1807-92.pdf#page=8","Abrir facsímil")</f>
        <v>Abrir facsímil</v>
      </c>
      <c r="K4783" s="15" t="s">
        <v>22</v>
      </c>
    </row>
    <row r="4784" spans="1:11" ht="42" customHeight="1">
      <c r="A4784" s="4" t="s">
        <v>11126</v>
      </c>
      <c r="B4784" s="5" t="s">
        <v>11127</v>
      </c>
      <c r="C4784" s="5" t="s">
        <v>24</v>
      </c>
      <c r="D4784" s="5" t="s">
        <v>18</v>
      </c>
      <c r="E4784" s="5" t="s">
        <v>309</v>
      </c>
      <c r="F4784" s="9">
        <v>107</v>
      </c>
      <c r="G4784" s="9">
        <v>1248</v>
      </c>
      <c r="H4784" s="5" t="s">
        <v>20</v>
      </c>
      <c r="I4784" s="5" t="s">
        <v>11128</v>
      </c>
      <c r="J4784" s="12" t="str">
        <f>HYPERLINK("https://www.boe.es/gazeta/dias/1807/12/01/pdfs/GMD-1807-107.pdf#page=8","Abrir facsímil")</f>
        <v>Abrir facsímil</v>
      </c>
      <c r="K4784" s="15" t="s">
        <v>22</v>
      </c>
    </row>
    <row r="4785" spans="1:11" ht="42" customHeight="1">
      <c r="A4785" s="4" t="s">
        <v>11129</v>
      </c>
      <c r="B4785" s="5" t="s">
        <v>11130</v>
      </c>
      <c r="C4785" s="5" t="s">
        <v>17</v>
      </c>
      <c r="D4785" s="5" t="s">
        <v>18</v>
      </c>
      <c r="E4785" s="5" t="s">
        <v>109</v>
      </c>
      <c r="F4785" s="9">
        <v>58</v>
      </c>
      <c r="G4785" s="9">
        <v>689</v>
      </c>
      <c r="H4785" s="5" t="s">
        <v>20</v>
      </c>
      <c r="I4785" s="5" t="s">
        <v>11131</v>
      </c>
      <c r="J4785" s="12" t="str">
        <f>HYPERLINK("https://www.boe.es/gazeta/dias/1807/07/07/pdfs/GMD-1807-58.pdf#page=7","Abrir facsímil")</f>
        <v>Abrir facsímil</v>
      </c>
      <c r="K4785" s="15" t="s">
        <v>22</v>
      </c>
    </row>
    <row r="4786" spans="1:11" ht="42" customHeight="1">
      <c r="A4786" s="4" t="s">
        <v>11132</v>
      </c>
      <c r="B4786" s="5" t="s">
        <v>11133</v>
      </c>
      <c r="C4786" s="5" t="s">
        <v>24</v>
      </c>
      <c r="D4786" s="5" t="s">
        <v>18</v>
      </c>
      <c r="E4786" s="5" t="s">
        <v>464</v>
      </c>
      <c r="F4786" s="9">
        <v>18</v>
      </c>
      <c r="G4786" s="9">
        <v>212</v>
      </c>
      <c r="H4786" s="5" t="s">
        <v>20</v>
      </c>
      <c r="I4786" s="5" t="s">
        <v>11134</v>
      </c>
      <c r="J4786" s="12" t="str">
        <f>HYPERLINK("https://www.boe.es/gazeta/dias/1807/02/24/pdfs/GMD-1807-18.pdf#page=12","Abrir facsímil")</f>
        <v>Abrir facsímil</v>
      </c>
      <c r="K4786" s="15" t="s">
        <v>22</v>
      </c>
    </row>
    <row r="4787" spans="1:11" ht="42" customHeight="1">
      <c r="A4787" s="4" t="s">
        <v>11135</v>
      </c>
      <c r="B4787" s="5" t="s">
        <v>11136</v>
      </c>
      <c r="C4787" s="5" t="s">
        <v>24</v>
      </c>
      <c r="D4787" s="5" t="s">
        <v>18</v>
      </c>
      <c r="E4787" s="5" t="s">
        <v>46</v>
      </c>
      <c r="F4787" s="9">
        <v>78</v>
      </c>
      <c r="G4787" s="9">
        <v>904</v>
      </c>
      <c r="H4787" s="5" t="s">
        <v>20</v>
      </c>
      <c r="I4787" s="5" t="s">
        <v>11137</v>
      </c>
      <c r="J4787" s="12" t="str">
        <f>HYPERLINK("https://www.boe.es/gazeta/dias/1807/09/01/pdfs/GMD-1807-78.pdf#page=8","Abrir facsímil")</f>
        <v>Abrir facsímil</v>
      </c>
      <c r="K4787" s="15" t="s">
        <v>22</v>
      </c>
    </row>
    <row r="4788" spans="1:11" ht="42" customHeight="1">
      <c r="A4788" s="4" t="s">
        <v>11138</v>
      </c>
      <c r="B4788" s="5" t="s">
        <v>11138</v>
      </c>
      <c r="C4788" s="5" t="s">
        <v>17</v>
      </c>
      <c r="D4788" s="5" t="s">
        <v>18</v>
      </c>
      <c r="E4788" s="5" t="s">
        <v>309</v>
      </c>
      <c r="F4788" s="9">
        <v>107</v>
      </c>
      <c r="G4788" s="9">
        <v>1247</v>
      </c>
      <c r="H4788" s="5" t="s">
        <v>20</v>
      </c>
      <c r="I4788" s="5" t="s">
        <v>11139</v>
      </c>
      <c r="J4788" s="12" t="str">
        <f>HYPERLINK("https://www.boe.es/gazeta/dias/1807/12/01/pdfs/GMD-1807-107.pdf#page=7","Abrir facsímil")</f>
        <v>Abrir facsímil</v>
      </c>
      <c r="K4788" s="15" t="s">
        <v>22</v>
      </c>
    </row>
    <row r="4789" spans="1:11" ht="42" customHeight="1">
      <c r="A4789" s="4" t="s">
        <v>11140</v>
      </c>
      <c r="B4789" s="5" t="s">
        <v>11140</v>
      </c>
      <c r="C4789" s="5" t="s">
        <v>24</v>
      </c>
      <c r="D4789" s="5" t="s">
        <v>18</v>
      </c>
      <c r="E4789" s="5" t="s">
        <v>319</v>
      </c>
      <c r="F4789" s="9">
        <v>54</v>
      </c>
      <c r="G4789" s="9">
        <v>648</v>
      </c>
      <c r="H4789" s="5" t="s">
        <v>20</v>
      </c>
      <c r="I4789" s="5" t="s">
        <v>11141</v>
      </c>
      <c r="J4789" s="12" t="str">
        <f>HYPERLINK("https://www.boe.es/gazeta/dias/1807/06/26/pdfs/GMD-1807-54.pdf#page=10","Abrir facsímil")</f>
        <v>Abrir facsímil</v>
      </c>
      <c r="K4789" s="15" t="s">
        <v>22</v>
      </c>
    </row>
    <row r="4790" spans="1:11" ht="42" customHeight="1">
      <c r="A4790" s="4" t="s">
        <v>11142</v>
      </c>
      <c r="B4790" s="5" t="s">
        <v>11142</v>
      </c>
      <c r="C4790" s="5" t="s">
        <v>34</v>
      </c>
      <c r="D4790" s="5" t="s">
        <v>35</v>
      </c>
      <c r="E4790" s="5" t="s">
        <v>441</v>
      </c>
      <c r="F4790" s="9">
        <v>92</v>
      </c>
      <c r="G4790" s="9">
        <v>1068</v>
      </c>
      <c r="H4790" s="5" t="s">
        <v>20</v>
      </c>
      <c r="I4790" s="5" t="s">
        <v>11143</v>
      </c>
      <c r="J4790" s="12" t="str">
        <f>HYPERLINK("https://www.boe.es/gazeta/dias/1807/10/13/pdfs/GMD-1807-92.pdf#page=8","Abrir facsímil")</f>
        <v>Abrir facsímil</v>
      </c>
      <c r="K4790" s="15" t="s">
        <v>22</v>
      </c>
    </row>
    <row r="4791" spans="1:11" ht="42" customHeight="1">
      <c r="A4791" s="4" t="s">
        <v>11144</v>
      </c>
      <c r="B4791" s="5" t="s">
        <v>11144</v>
      </c>
      <c r="C4791" s="5" t="s">
        <v>24</v>
      </c>
      <c r="D4791" s="5" t="s">
        <v>18</v>
      </c>
      <c r="E4791" s="5" t="s">
        <v>305</v>
      </c>
      <c r="F4791" s="9">
        <v>53</v>
      </c>
      <c r="G4791" s="9">
        <v>635</v>
      </c>
      <c r="H4791" s="5" t="s">
        <v>20</v>
      </c>
      <c r="I4791" s="5" t="s">
        <v>11145</v>
      </c>
      <c r="J4791" s="12" t="str">
        <f>HYPERLINK("https://www.boe.es/gazeta/dias/1807/06/23/pdfs/GMD-1807-53.pdf#page=9","Abrir facsímil")</f>
        <v>Abrir facsímil</v>
      </c>
      <c r="K4791" s="15" t="s">
        <v>22</v>
      </c>
    </row>
    <row r="4792" spans="1:11" ht="42" customHeight="1">
      <c r="A4792" s="4" t="s">
        <v>11146</v>
      </c>
      <c r="B4792" s="5" t="s">
        <v>11146</v>
      </c>
      <c r="C4792" s="5" t="s">
        <v>34</v>
      </c>
      <c r="D4792" s="5" t="s">
        <v>35</v>
      </c>
      <c r="E4792" s="5" t="s">
        <v>83</v>
      </c>
      <c r="F4792" s="9">
        <v>50</v>
      </c>
      <c r="G4792" s="9">
        <v>595</v>
      </c>
      <c r="H4792" s="5" t="s">
        <v>20</v>
      </c>
      <c r="I4792" s="5" t="s">
        <v>11147</v>
      </c>
      <c r="J4792" s="12" t="str">
        <f>HYPERLINK("https://www.boe.es/gazeta/dias/1807/06/12/pdfs/GMD-1807-50.pdf#page=9","Abrir facsímil")</f>
        <v>Abrir facsímil</v>
      </c>
      <c r="K4792" s="15" t="s">
        <v>22</v>
      </c>
    </row>
    <row r="4793" spans="1:11" ht="42" customHeight="1">
      <c r="A4793" s="4" t="s">
        <v>11148</v>
      </c>
      <c r="B4793" s="5" t="s">
        <v>11149</v>
      </c>
      <c r="C4793" s="5" t="s">
        <v>24</v>
      </c>
      <c r="D4793" s="5" t="s">
        <v>18</v>
      </c>
      <c r="E4793" s="5" t="s">
        <v>139</v>
      </c>
      <c r="F4793" s="9">
        <v>110</v>
      </c>
      <c r="G4793" s="9">
        <v>1285</v>
      </c>
      <c r="H4793" s="5" t="s">
        <v>20</v>
      </c>
      <c r="I4793" s="5" t="s">
        <v>11150</v>
      </c>
      <c r="J4793" s="12" t="str">
        <f>HYPERLINK("https://www.boe.es/gazeta/dias/1807/12/11/pdfs/GMD-1807-110.pdf#page=9","Abrir facsímil")</f>
        <v>Abrir facsímil</v>
      </c>
      <c r="K4793" s="15" t="s">
        <v>22</v>
      </c>
    </row>
    <row r="4794" spans="1:11" ht="42" customHeight="1">
      <c r="A4794" s="4" t="s">
        <v>11151</v>
      </c>
      <c r="B4794" s="5" t="s">
        <v>11152</v>
      </c>
      <c r="C4794" s="5" t="s">
        <v>24</v>
      </c>
      <c r="D4794" s="5" t="s">
        <v>18</v>
      </c>
      <c r="E4794" s="5" t="s">
        <v>111</v>
      </c>
      <c r="F4794" s="9">
        <v>90</v>
      </c>
      <c r="G4794" s="9">
        <v>1047</v>
      </c>
      <c r="H4794" s="5" t="s">
        <v>20</v>
      </c>
      <c r="I4794" s="5" t="s">
        <v>11153</v>
      </c>
      <c r="J4794" s="12" t="str">
        <f>HYPERLINK("https://www.boe.es/gazeta/dias/1807/10/06/pdfs/GMD-1807-90.pdf#page=15","Abrir facsímil")</f>
        <v>Abrir facsímil</v>
      </c>
      <c r="K4794" s="15" t="s">
        <v>22</v>
      </c>
    </row>
    <row r="4795" spans="1:11" ht="42" customHeight="1">
      <c r="A4795" s="4" t="s">
        <v>11154</v>
      </c>
      <c r="B4795" s="5" t="s">
        <v>11155</v>
      </c>
      <c r="C4795" s="5" t="s">
        <v>24</v>
      </c>
      <c r="D4795" s="5" t="s">
        <v>18</v>
      </c>
      <c r="E4795" s="5" t="s">
        <v>221</v>
      </c>
      <c r="F4795" s="9">
        <v>73</v>
      </c>
      <c r="G4795" s="9">
        <v>844</v>
      </c>
      <c r="H4795" s="5" t="s">
        <v>20</v>
      </c>
      <c r="I4795" s="5" t="s">
        <v>11156</v>
      </c>
      <c r="J4795" s="12" t="str">
        <f>HYPERLINK("https://www.boe.es/gazeta/dias/1807/08/14/pdfs/GMD-1807-73.pdf#page=8","Abrir facsímil")</f>
        <v>Abrir facsímil</v>
      </c>
      <c r="K4795" s="15" t="s">
        <v>22</v>
      </c>
    </row>
    <row r="4796" spans="1:11" ht="42" customHeight="1">
      <c r="A4796" s="4" t="s">
        <v>11157</v>
      </c>
      <c r="B4796" s="5" t="s">
        <v>11158</v>
      </c>
      <c r="C4796" s="5" t="s">
        <v>34</v>
      </c>
      <c r="D4796" s="5" t="s">
        <v>35</v>
      </c>
      <c r="E4796" s="5" t="s">
        <v>65</v>
      </c>
      <c r="F4796" s="9">
        <v>52</v>
      </c>
      <c r="G4796" s="9">
        <v>625</v>
      </c>
      <c r="H4796" s="5" t="s">
        <v>20</v>
      </c>
      <c r="I4796" s="5" t="s">
        <v>11159</v>
      </c>
      <c r="J4796" s="12" t="str">
        <f>HYPERLINK("https://www.boe.es/gazeta/dias/1807/06/19/pdfs/GMD-1807-52.pdf#page=15","Abrir facsímil")</f>
        <v>Abrir facsímil</v>
      </c>
      <c r="K4796" s="15" t="s">
        <v>22</v>
      </c>
    </row>
    <row r="4797" spans="1:11" ht="42" customHeight="1">
      <c r="A4797" s="4" t="s">
        <v>11160</v>
      </c>
      <c r="B4797" s="5" t="s">
        <v>11161</v>
      </c>
      <c r="C4797" s="5" t="s">
        <v>89</v>
      </c>
      <c r="D4797" s="5" t="s">
        <v>90</v>
      </c>
      <c r="E4797" s="5" t="s">
        <v>106</v>
      </c>
      <c r="F4797" s="9">
        <v>39</v>
      </c>
      <c r="G4797" s="9">
        <v>470</v>
      </c>
      <c r="H4797" s="5" t="s">
        <v>20</v>
      </c>
      <c r="I4797" s="5" t="s">
        <v>11162</v>
      </c>
      <c r="J4797" s="12" t="str">
        <f>HYPERLINK("https://www.boe.es/gazeta/dias/1807/05/05/pdfs/GMD-1807-39.pdf#page=12","Abrir facsímil")</f>
        <v>Abrir facsímil</v>
      </c>
      <c r="K4797" s="15" t="s">
        <v>22</v>
      </c>
    </row>
    <row r="4798" spans="1:11" ht="42" customHeight="1">
      <c r="A4798" s="4" t="s">
        <v>11163</v>
      </c>
      <c r="B4798" s="5" t="s">
        <v>11164</v>
      </c>
      <c r="C4798" s="5" t="s">
        <v>24</v>
      </c>
      <c r="D4798" s="5" t="s">
        <v>18</v>
      </c>
      <c r="E4798" s="5" t="s">
        <v>208</v>
      </c>
      <c r="F4798" s="9">
        <v>42</v>
      </c>
      <c r="G4798" s="9">
        <v>503</v>
      </c>
      <c r="H4798" s="5" t="s">
        <v>20</v>
      </c>
      <c r="I4798" s="5" t="s">
        <v>11165</v>
      </c>
      <c r="J4798" s="12" t="str">
        <f>HYPERLINK("https://www.boe.es/gazeta/dias/1807/05/15/pdfs/GMD-1807-42.pdf#page=9","Abrir facsímil")</f>
        <v>Abrir facsímil</v>
      </c>
      <c r="K4798" s="15" t="s">
        <v>22</v>
      </c>
    </row>
    <row r="4799" spans="1:11" ht="42" customHeight="1">
      <c r="A4799" s="4" t="s">
        <v>11163</v>
      </c>
      <c r="B4799" s="5" t="s">
        <v>11164</v>
      </c>
      <c r="C4799" s="5" t="s">
        <v>24</v>
      </c>
      <c r="D4799" s="5" t="s">
        <v>18</v>
      </c>
      <c r="E4799" s="5" t="s">
        <v>471</v>
      </c>
      <c r="F4799" s="9">
        <v>51</v>
      </c>
      <c r="G4799" s="9">
        <v>608</v>
      </c>
      <c r="H4799" s="5" t="s">
        <v>20</v>
      </c>
      <c r="I4799" s="5" t="s">
        <v>11166</v>
      </c>
      <c r="J4799" s="12" t="str">
        <f>HYPERLINK("https://www.boe.es/gazeta/dias/1807/06/16/pdfs/GMD-1807-51.pdf#page=10","Abrir facsímil")</f>
        <v>Abrir facsímil</v>
      </c>
      <c r="K4799" s="15" t="s">
        <v>22</v>
      </c>
    </row>
    <row r="4800" spans="1:11" ht="42" customHeight="1">
      <c r="A4800" s="4" t="s">
        <v>11167</v>
      </c>
      <c r="B4800" s="5" t="s">
        <v>11168</v>
      </c>
      <c r="C4800" s="5" t="s">
        <v>89</v>
      </c>
      <c r="D4800" s="5" t="s">
        <v>90</v>
      </c>
      <c r="E4800" s="5" t="s">
        <v>109</v>
      </c>
      <c r="F4800" s="9">
        <v>58</v>
      </c>
      <c r="G4800" s="9">
        <v>692</v>
      </c>
      <c r="H4800" s="5" t="s">
        <v>20</v>
      </c>
      <c r="I4800" s="5" t="s">
        <v>11169</v>
      </c>
      <c r="J4800" s="12" t="str">
        <f>HYPERLINK("https://www.boe.es/gazeta/dias/1807/07/07/pdfs/GMD-1807-58.pdf#page=10","Abrir facsímil")</f>
        <v>Abrir facsímil</v>
      </c>
      <c r="K4800" s="15" t="s">
        <v>22</v>
      </c>
    </row>
    <row r="4801" spans="1:11" ht="42" customHeight="1">
      <c r="A4801" s="4" t="s">
        <v>11163</v>
      </c>
      <c r="B4801" s="5" t="s">
        <v>11164</v>
      </c>
      <c r="C4801" s="5" t="s">
        <v>24</v>
      </c>
      <c r="D4801" s="5" t="s">
        <v>18</v>
      </c>
      <c r="E4801" s="5" t="s">
        <v>152</v>
      </c>
      <c r="F4801" s="9">
        <v>61</v>
      </c>
      <c r="G4801" s="9">
        <v>722</v>
      </c>
      <c r="H4801" s="5" t="s">
        <v>20</v>
      </c>
      <c r="I4801" s="5" t="s">
        <v>11170</v>
      </c>
      <c r="J4801" s="12" t="str">
        <f>HYPERLINK("https://www.boe.es/gazeta/dias/1807/07/14/pdfs/GMD-1807-61.pdf#page=8","Abrir facsímil")</f>
        <v>Abrir facsímil</v>
      </c>
      <c r="K4801" s="15" t="s">
        <v>22</v>
      </c>
    </row>
    <row r="4802" spans="1:11" ht="42" customHeight="1">
      <c r="A4802" s="4" t="s">
        <v>11171</v>
      </c>
      <c r="B4802" s="5" t="s">
        <v>11171</v>
      </c>
      <c r="C4802" s="5" t="s">
        <v>49</v>
      </c>
      <c r="D4802" s="5" t="s">
        <v>50</v>
      </c>
      <c r="E4802" s="5" t="s">
        <v>83</v>
      </c>
      <c r="F4802" s="9">
        <v>50</v>
      </c>
      <c r="G4802" s="9">
        <v>591</v>
      </c>
      <c r="H4802" s="5" t="s">
        <v>20</v>
      </c>
      <c r="I4802" s="5" t="s">
        <v>11172</v>
      </c>
      <c r="J4802" s="12" t="str">
        <f>HYPERLINK("https://www.boe.es/gazeta/dias/1807/06/12/pdfs/GMD-1807-50.pdf#page=5","Abrir facsímil")</f>
        <v>Abrir facsímil</v>
      </c>
      <c r="K4802" s="15" t="s">
        <v>22</v>
      </c>
    </row>
    <row r="4803" spans="1:11" ht="42" customHeight="1">
      <c r="A4803" s="4" t="s">
        <v>11173</v>
      </c>
      <c r="B4803" s="5" t="s">
        <v>11173</v>
      </c>
      <c r="C4803" s="5" t="s">
        <v>28</v>
      </c>
      <c r="D4803" s="5" t="s">
        <v>29</v>
      </c>
      <c r="E4803" s="5" t="s">
        <v>406</v>
      </c>
      <c r="F4803" s="9">
        <v>82</v>
      </c>
      <c r="G4803" s="9">
        <v>955</v>
      </c>
      <c r="H4803" s="5" t="s">
        <v>20</v>
      </c>
      <c r="I4803" s="5" t="s">
        <v>11174</v>
      </c>
      <c r="J4803" s="12" t="str">
        <f>HYPERLINK("https://www.boe.es/gazeta/dias/1807/09/15/pdfs/GMD-1807-82.pdf#page=7","Abrir facsímil")</f>
        <v>Abrir facsímil</v>
      </c>
      <c r="K4803" s="15" t="s">
        <v>22</v>
      </c>
    </row>
    <row r="4804" spans="1:11" ht="42" customHeight="1">
      <c r="A4804" s="4" t="s">
        <v>11175</v>
      </c>
      <c r="B4804" s="5" t="s">
        <v>11176</v>
      </c>
      <c r="C4804" s="5" t="s">
        <v>28</v>
      </c>
      <c r="D4804" s="5" t="s">
        <v>29</v>
      </c>
      <c r="E4804" s="5" t="s">
        <v>42</v>
      </c>
      <c r="F4804" s="9">
        <v>31</v>
      </c>
      <c r="G4804" s="9">
        <v>367</v>
      </c>
      <c r="H4804" s="5" t="s">
        <v>20</v>
      </c>
      <c r="I4804" s="5" t="s">
        <v>11177</v>
      </c>
      <c r="J4804" s="12" t="str">
        <f>HYPERLINK("https://www.boe.es/gazeta/dias/1807/04/07/pdfs/GMD-1807-31.pdf#page=7","Abrir facsímil")</f>
        <v>Abrir facsímil</v>
      </c>
      <c r="K4804" s="15" t="s">
        <v>22</v>
      </c>
    </row>
    <row r="4805" spans="1:11" ht="42" customHeight="1">
      <c r="A4805" s="4" t="s">
        <v>11175</v>
      </c>
      <c r="B4805" s="5" t="s">
        <v>11176</v>
      </c>
      <c r="C4805" s="5" t="s">
        <v>28</v>
      </c>
      <c r="D4805" s="5" t="s">
        <v>29</v>
      </c>
      <c r="E4805" s="5" t="s">
        <v>186</v>
      </c>
      <c r="F4805" s="9">
        <v>72</v>
      </c>
      <c r="G4805" s="9">
        <v>828</v>
      </c>
      <c r="H4805" s="5" t="s">
        <v>20</v>
      </c>
      <c r="I4805" s="5" t="s">
        <v>11178</v>
      </c>
      <c r="J4805" s="12" t="str">
        <f>HYPERLINK("https://www.boe.es/gazeta/dias/1807/08/11/pdfs/GMD-1807-72.pdf#page=8","Abrir facsímil")</f>
        <v>Abrir facsímil</v>
      </c>
      <c r="K4805" s="15" t="s">
        <v>22</v>
      </c>
    </row>
    <row r="4806" spans="1:11" ht="42" customHeight="1">
      <c r="A4806" s="4" t="s">
        <v>11179</v>
      </c>
      <c r="B4806" s="5" t="s">
        <v>11180</v>
      </c>
      <c r="C4806" s="5" t="s">
        <v>49</v>
      </c>
      <c r="D4806" s="5" t="s">
        <v>50</v>
      </c>
      <c r="E4806" s="5" t="s">
        <v>86</v>
      </c>
      <c r="F4806" s="9">
        <v>12</v>
      </c>
      <c r="G4806" s="9">
        <v>130</v>
      </c>
      <c r="H4806" s="5" t="s">
        <v>20</v>
      </c>
      <c r="I4806" s="5" t="s">
        <v>11181</v>
      </c>
      <c r="J4806" s="12" t="str">
        <f>HYPERLINK("https://www.boe.es/gazeta/dias/1807/02/03/pdfs/GMD-1807-12.pdf#page=2","Abrir facsímil")</f>
        <v>Abrir facsímil</v>
      </c>
      <c r="K4806" s="15" t="s">
        <v>22</v>
      </c>
    </row>
    <row r="4807" spans="1:11" ht="42" customHeight="1">
      <c r="A4807" s="4" t="s">
        <v>11179</v>
      </c>
      <c r="B4807" s="5" t="s">
        <v>11180</v>
      </c>
      <c r="C4807" s="5" t="s">
        <v>49</v>
      </c>
      <c r="D4807" s="5" t="s">
        <v>50</v>
      </c>
      <c r="E4807" s="5" t="s">
        <v>86</v>
      </c>
      <c r="F4807" s="9">
        <v>12</v>
      </c>
      <c r="G4807" s="9">
        <v>131</v>
      </c>
      <c r="H4807" s="5" t="s">
        <v>20</v>
      </c>
      <c r="I4807" s="5" t="s">
        <v>11182</v>
      </c>
      <c r="J4807" s="12" t="str">
        <f>HYPERLINK("https://www.boe.es/gazeta/dias/1807/02/03/pdfs/GMD-1807-12.pdf#page=3","Abrir facsímil")</f>
        <v>Abrir facsímil</v>
      </c>
      <c r="K4807" s="15" t="s">
        <v>22</v>
      </c>
    </row>
    <row r="4808" spans="1:11" ht="42" customHeight="1">
      <c r="A4808" s="4" t="s">
        <v>11179</v>
      </c>
      <c r="B4808" s="5" t="s">
        <v>11180</v>
      </c>
      <c r="C4808" s="5" t="s">
        <v>49</v>
      </c>
      <c r="D4808" s="5" t="s">
        <v>50</v>
      </c>
      <c r="E4808" s="5" t="s">
        <v>393</v>
      </c>
      <c r="F4808" s="9">
        <v>15</v>
      </c>
      <c r="G4808" s="9">
        <v>169</v>
      </c>
      <c r="H4808" s="5" t="s">
        <v>20</v>
      </c>
      <c r="I4808" s="5" t="s">
        <v>11183</v>
      </c>
      <c r="J4808" s="12" t="str">
        <f>HYPERLINK("https://www.boe.es/gazeta/dias/1807/02/13/pdfs/GMD-1807-15.pdf#page=5","Abrir facsímil")</f>
        <v>Abrir facsímil</v>
      </c>
      <c r="K4808" s="15" t="s">
        <v>22</v>
      </c>
    </row>
    <row r="4809" spans="1:11" ht="42" customHeight="1">
      <c r="A4809" s="4" t="s">
        <v>11179</v>
      </c>
      <c r="B4809" s="5" t="s">
        <v>11180</v>
      </c>
      <c r="C4809" s="5" t="s">
        <v>49</v>
      </c>
      <c r="D4809" s="5" t="s">
        <v>50</v>
      </c>
      <c r="E4809" s="5" t="s">
        <v>464</v>
      </c>
      <c r="F4809" s="9">
        <v>18</v>
      </c>
      <c r="G4809" s="9">
        <v>210</v>
      </c>
      <c r="H4809" s="5" t="s">
        <v>20</v>
      </c>
      <c r="I4809" s="5" t="s">
        <v>11184</v>
      </c>
      <c r="J4809" s="12" t="str">
        <f>HYPERLINK("https://www.boe.es/gazeta/dias/1807/02/24/pdfs/GMD-1807-18.pdf#page=10","Abrir facsímil")</f>
        <v>Abrir facsímil</v>
      </c>
      <c r="K4809" s="15" t="s">
        <v>22</v>
      </c>
    </row>
    <row r="4810" spans="1:11" ht="42" customHeight="1">
      <c r="A4810" s="4" t="s">
        <v>11179</v>
      </c>
      <c r="B4810" s="5" t="s">
        <v>11180</v>
      </c>
      <c r="C4810" s="5" t="s">
        <v>28</v>
      </c>
      <c r="D4810" s="5" t="s">
        <v>29</v>
      </c>
      <c r="E4810" s="5" t="s">
        <v>464</v>
      </c>
      <c r="F4810" s="9">
        <v>18</v>
      </c>
      <c r="G4810" s="9">
        <v>211</v>
      </c>
      <c r="H4810" s="5" t="s">
        <v>20</v>
      </c>
      <c r="I4810" s="5" t="s">
        <v>11185</v>
      </c>
      <c r="J4810" s="12" t="str">
        <f>HYPERLINK("https://www.boe.es/gazeta/dias/1807/02/24/pdfs/GMD-1807-18.pdf#page=11","Abrir facsímil")</f>
        <v>Abrir facsímil</v>
      </c>
      <c r="K4810" s="15" t="s">
        <v>22</v>
      </c>
    </row>
    <row r="4811" spans="1:11" ht="42" customHeight="1">
      <c r="A4811" s="4" t="s">
        <v>11186</v>
      </c>
      <c r="B4811" s="5" t="s">
        <v>11187</v>
      </c>
      <c r="C4811" s="5" t="s">
        <v>49</v>
      </c>
      <c r="D4811" s="5" t="s">
        <v>50</v>
      </c>
      <c r="E4811" s="5" t="s">
        <v>376</v>
      </c>
      <c r="F4811" s="9">
        <v>19</v>
      </c>
      <c r="G4811" s="9">
        <v>222</v>
      </c>
      <c r="H4811" s="5" t="s">
        <v>20</v>
      </c>
      <c r="I4811" s="5" t="s">
        <v>11188</v>
      </c>
      <c r="J4811" s="12" t="str">
        <f>HYPERLINK("https://www.boe.es/gazeta/dias/1807/02/27/pdfs/GMD-1807-19.pdf#page=6","Abrir facsímil")</f>
        <v>Abrir facsímil</v>
      </c>
      <c r="K4811" s="15" t="s">
        <v>22</v>
      </c>
    </row>
    <row r="4812" spans="1:11" ht="42" customHeight="1">
      <c r="A4812" s="4" t="s">
        <v>11179</v>
      </c>
      <c r="B4812" s="5" t="s">
        <v>11180</v>
      </c>
      <c r="C4812" s="5" t="s">
        <v>49</v>
      </c>
      <c r="D4812" s="5" t="s">
        <v>50</v>
      </c>
      <c r="E4812" s="5" t="s">
        <v>376</v>
      </c>
      <c r="F4812" s="9">
        <v>19</v>
      </c>
      <c r="G4812" s="9">
        <v>223</v>
      </c>
      <c r="H4812" s="5" t="s">
        <v>20</v>
      </c>
      <c r="I4812" s="5" t="s">
        <v>11189</v>
      </c>
      <c r="J4812" s="12" t="str">
        <f>HYPERLINK("https://www.boe.es/gazeta/dias/1807/02/27/pdfs/GMD-1807-19.pdf#page=7","Abrir facsímil")</f>
        <v>Abrir facsímil</v>
      </c>
      <c r="K4812" s="15" t="s">
        <v>22</v>
      </c>
    </row>
    <row r="4813" spans="1:11" ht="42" customHeight="1">
      <c r="A4813" s="4" t="s">
        <v>11190</v>
      </c>
      <c r="B4813" s="5" t="s">
        <v>11191</v>
      </c>
      <c r="C4813" s="5" t="s">
        <v>49</v>
      </c>
      <c r="D4813" s="5" t="s">
        <v>50</v>
      </c>
      <c r="E4813" s="5" t="s">
        <v>183</v>
      </c>
      <c r="F4813" s="9">
        <v>1</v>
      </c>
      <c r="G4813" s="9">
        <v>4</v>
      </c>
      <c r="H4813" s="5" t="s">
        <v>20</v>
      </c>
      <c r="I4813" s="5" t="s">
        <v>11192</v>
      </c>
      <c r="J4813" s="12" t="str">
        <f>HYPERLINK("https://www.boe.es/gazeta/dias/1807/01/02/pdfs/GMD-1807-1.pdf#page=4","Abrir facsímil")</f>
        <v>Abrir facsímil</v>
      </c>
      <c r="K4813" s="15" t="s">
        <v>22</v>
      </c>
    </row>
    <row r="4814" spans="1:11" ht="42" customHeight="1">
      <c r="A4814" s="4" t="s">
        <v>11190</v>
      </c>
      <c r="B4814" s="5" t="s">
        <v>11191</v>
      </c>
      <c r="C4814" s="5" t="s">
        <v>34</v>
      </c>
      <c r="D4814" s="5" t="s">
        <v>35</v>
      </c>
      <c r="E4814" s="5" t="s">
        <v>183</v>
      </c>
      <c r="F4814" s="9">
        <v>1</v>
      </c>
      <c r="G4814" s="9">
        <v>5</v>
      </c>
      <c r="H4814" s="5" t="s">
        <v>20</v>
      </c>
      <c r="I4814" s="5" t="s">
        <v>11193</v>
      </c>
      <c r="J4814" s="12" t="str">
        <f>HYPERLINK("https://www.boe.es/gazeta/dias/1807/01/02/pdfs/GMD-1807-1.pdf#page=5","Abrir facsímil")</f>
        <v>Abrir facsímil</v>
      </c>
      <c r="K4814" s="15" t="s">
        <v>22</v>
      </c>
    </row>
    <row r="4815" spans="1:11" ht="42" customHeight="1">
      <c r="A4815" s="4" t="s">
        <v>11194</v>
      </c>
      <c r="B4815" s="5" t="s">
        <v>11195</v>
      </c>
      <c r="C4815" s="5" t="s">
        <v>34</v>
      </c>
      <c r="D4815" s="5" t="s">
        <v>35</v>
      </c>
      <c r="E4815" s="5" t="s">
        <v>183</v>
      </c>
      <c r="F4815" s="9">
        <v>1</v>
      </c>
      <c r="G4815" s="9">
        <v>5</v>
      </c>
      <c r="H4815" s="5" t="s">
        <v>20</v>
      </c>
      <c r="I4815" s="5" t="s">
        <v>11196</v>
      </c>
      <c r="J4815" s="12" t="str">
        <f>HYPERLINK("https://www.boe.es/gazeta/dias/1807/01/02/pdfs/GMD-1807-1.pdf#page=5","Abrir facsímil")</f>
        <v>Abrir facsímil</v>
      </c>
      <c r="K4815" s="15" t="s">
        <v>22</v>
      </c>
    </row>
    <row r="4816" spans="1:11" ht="42" customHeight="1">
      <c r="A4816" s="4" t="s">
        <v>11197</v>
      </c>
      <c r="B4816" s="5" t="s">
        <v>11197</v>
      </c>
      <c r="C4816" s="5" t="s">
        <v>28</v>
      </c>
      <c r="D4816" s="5" t="s">
        <v>29</v>
      </c>
      <c r="E4816" s="5" t="s">
        <v>1340</v>
      </c>
      <c r="F4816" s="9">
        <v>114</v>
      </c>
      <c r="G4816" s="9">
        <v>1331</v>
      </c>
      <c r="H4816" s="5" t="s">
        <v>20</v>
      </c>
      <c r="I4816" s="5" t="s">
        <v>11198</v>
      </c>
      <c r="J4816" s="12" t="str">
        <f>HYPERLINK("https://www.boe.es/gazeta/dias/1807/12/25/pdfs/GMD-1807-114.pdf#page=7","Abrir facsímil")</f>
        <v>Abrir facsímil</v>
      </c>
      <c r="K4816" s="15" t="s">
        <v>22</v>
      </c>
    </row>
    <row r="4817" spans="1:11" ht="42" customHeight="1">
      <c r="A4817" s="4" t="s">
        <v>11199</v>
      </c>
      <c r="B4817" s="5" t="s">
        <v>11199</v>
      </c>
      <c r="C4817" s="5" t="s">
        <v>24</v>
      </c>
      <c r="D4817" s="5" t="s">
        <v>18</v>
      </c>
      <c r="E4817" s="5" t="s">
        <v>120</v>
      </c>
      <c r="F4817" s="9">
        <v>10</v>
      </c>
      <c r="G4817" s="9">
        <v>110</v>
      </c>
      <c r="H4817" s="5" t="s">
        <v>20</v>
      </c>
      <c r="I4817" s="5" t="s">
        <v>11200</v>
      </c>
      <c r="J4817" s="12" t="str">
        <f>HYPERLINK("https://www.boe.es/gazeta/dias/1807/01/27/pdfs/GMD-1807-10.pdf#page=6","Abrir facsímil")</f>
        <v>Abrir facsímil</v>
      </c>
      <c r="K4817" s="15" t="s">
        <v>22</v>
      </c>
    </row>
    <row r="4818" spans="1:11" ht="42" customHeight="1">
      <c r="A4818" s="4" t="s">
        <v>11201</v>
      </c>
      <c r="B4818" s="5" t="s">
        <v>11201</v>
      </c>
      <c r="C4818" s="5" t="s">
        <v>34</v>
      </c>
      <c r="D4818" s="5" t="s">
        <v>35</v>
      </c>
      <c r="E4818" s="5" t="s">
        <v>120</v>
      </c>
      <c r="F4818" s="9">
        <v>10</v>
      </c>
      <c r="G4818" s="9">
        <v>110</v>
      </c>
      <c r="H4818" s="5" t="s">
        <v>20</v>
      </c>
      <c r="I4818" s="5" t="s">
        <v>11202</v>
      </c>
      <c r="J4818" s="12" t="str">
        <f>HYPERLINK("https://www.boe.es/gazeta/dias/1807/01/27/pdfs/GMD-1807-10.pdf#page=6","Abrir facsímil")</f>
        <v>Abrir facsímil</v>
      </c>
      <c r="K4818" s="15" t="s">
        <v>22</v>
      </c>
    </row>
    <row r="4819" spans="1:11" ht="42" customHeight="1">
      <c r="A4819" s="4" t="s">
        <v>11203</v>
      </c>
      <c r="B4819" s="5" t="s">
        <v>11204</v>
      </c>
      <c r="C4819" s="5" t="s">
        <v>28</v>
      </c>
      <c r="D4819" s="5" t="s">
        <v>29</v>
      </c>
      <c r="E4819" s="5" t="s">
        <v>179</v>
      </c>
      <c r="F4819" s="9">
        <v>100</v>
      </c>
      <c r="G4819" s="9">
        <v>1165</v>
      </c>
      <c r="H4819" s="5" t="s">
        <v>20</v>
      </c>
      <c r="I4819" s="5" t="s">
        <v>11205</v>
      </c>
      <c r="J4819" s="12" t="str">
        <f>HYPERLINK("https://www.boe.es/gazeta/dias/1807/11/10/pdfs/GMD-1807-100.pdf#page=9","Abrir facsímil")</f>
        <v>Abrir facsímil</v>
      </c>
      <c r="K4819" s="15" t="s">
        <v>22</v>
      </c>
    </row>
    <row r="4820" spans="1:11" ht="42" customHeight="1">
      <c r="A4820" s="4" t="s">
        <v>11206</v>
      </c>
      <c r="B4820" s="5" t="s">
        <v>11207</v>
      </c>
      <c r="C4820" s="5" t="s">
        <v>89</v>
      </c>
      <c r="D4820" s="5" t="s">
        <v>90</v>
      </c>
      <c r="E4820" s="5" t="s">
        <v>461</v>
      </c>
      <c r="F4820" s="9">
        <v>99</v>
      </c>
      <c r="G4820" s="9">
        <v>1155</v>
      </c>
      <c r="H4820" s="5" t="s">
        <v>20</v>
      </c>
      <c r="I4820" s="5" t="s">
        <v>11208</v>
      </c>
      <c r="J4820" s="12" t="str">
        <f>HYPERLINK("https://www.boe.es/gazeta/dias/1807/11/06/pdfs/GMD-1807-99.pdf#page=11","Abrir facsímil")</f>
        <v>Abrir facsímil</v>
      </c>
      <c r="K4820" s="15" t="s">
        <v>22</v>
      </c>
    </row>
    <row r="4821" spans="1:11" ht="42" customHeight="1">
      <c r="A4821" s="4" t="s">
        <v>11209</v>
      </c>
      <c r="B4821" s="5" t="s">
        <v>11210</v>
      </c>
      <c r="C4821" s="5" t="s">
        <v>34</v>
      </c>
      <c r="D4821" s="5" t="s">
        <v>35</v>
      </c>
      <c r="E4821" s="5" t="s">
        <v>139</v>
      </c>
      <c r="F4821" s="9">
        <v>110</v>
      </c>
      <c r="G4821" s="9">
        <v>1284</v>
      </c>
      <c r="H4821" s="5" t="s">
        <v>20</v>
      </c>
      <c r="I4821" s="5" t="s">
        <v>11211</v>
      </c>
      <c r="J4821" s="12" t="str">
        <f>HYPERLINK("https://www.boe.es/gazeta/dias/1807/12/11/pdfs/GMD-1807-110.pdf#page=8","Abrir facsímil")</f>
        <v>Abrir facsímil</v>
      </c>
      <c r="K4821" s="15" t="s">
        <v>22</v>
      </c>
    </row>
    <row r="4822" spans="1:11" ht="42" customHeight="1">
      <c r="A4822" s="4" t="s">
        <v>11212</v>
      </c>
      <c r="B4822" s="5" t="s">
        <v>11213</v>
      </c>
      <c r="C4822" s="5" t="s">
        <v>34</v>
      </c>
      <c r="D4822" s="5" t="s">
        <v>35</v>
      </c>
      <c r="E4822" s="5" t="s">
        <v>595</v>
      </c>
      <c r="F4822" s="9">
        <v>59</v>
      </c>
      <c r="G4822" s="9">
        <v>705</v>
      </c>
      <c r="H4822" s="5" t="s">
        <v>20</v>
      </c>
      <c r="I4822" s="5" t="s">
        <v>11214</v>
      </c>
      <c r="J4822" s="12" t="str">
        <f>HYPERLINK("https://www.boe.es/gazeta/dias/1807/07/10/pdfs/GMD-1807-59.pdf#page=11","Abrir facsímil")</f>
        <v>Abrir facsímil</v>
      </c>
      <c r="K4822" s="15" t="s">
        <v>22</v>
      </c>
    </row>
    <row r="4823" spans="1:11" ht="42" customHeight="1">
      <c r="A4823" s="4" t="s">
        <v>11215</v>
      </c>
      <c r="B4823" s="5" t="s">
        <v>11216</v>
      </c>
      <c r="C4823" s="5" t="s">
        <v>24</v>
      </c>
      <c r="D4823" s="5" t="s">
        <v>18</v>
      </c>
      <c r="E4823" s="5" t="s">
        <v>190</v>
      </c>
      <c r="F4823" s="9">
        <v>37</v>
      </c>
      <c r="G4823" s="9">
        <v>444</v>
      </c>
      <c r="H4823" s="5" t="s">
        <v>20</v>
      </c>
      <c r="I4823" s="5" t="s">
        <v>11217</v>
      </c>
      <c r="J4823" s="12" t="str">
        <f>HYPERLINK("https://www.boe.es/gazeta/dias/1807/04/28/pdfs/GMD-1807-37.pdf#page=12","Abrir facsímil")</f>
        <v>Abrir facsímil</v>
      </c>
      <c r="K4823" s="15" t="s">
        <v>22</v>
      </c>
    </row>
    <row r="4824" spans="1:11" ht="42" customHeight="1">
      <c r="A4824" s="4" t="s">
        <v>11218</v>
      </c>
      <c r="B4824" s="5" t="s">
        <v>11219</v>
      </c>
      <c r="C4824" s="5" t="s">
        <v>28</v>
      </c>
      <c r="D4824" s="5" t="s">
        <v>29</v>
      </c>
      <c r="E4824" s="5" t="s">
        <v>418</v>
      </c>
      <c r="F4824" s="9">
        <v>4</v>
      </c>
      <c r="G4824" s="9">
        <v>40</v>
      </c>
      <c r="H4824" s="5" t="s">
        <v>20</v>
      </c>
      <c r="I4824" s="5" t="s">
        <v>11220</v>
      </c>
      <c r="J4824" s="12" t="str">
        <f>HYPERLINK("https://www.boe.es/gazeta/dias/1807/01/13/pdfs/GMD-1807-4.pdf#page=8","Abrir facsímil")</f>
        <v>Abrir facsímil</v>
      </c>
      <c r="K4824" s="15" t="s">
        <v>22</v>
      </c>
    </row>
    <row r="4825" spans="1:11" ht="42" customHeight="1">
      <c r="A4825" s="4" t="s">
        <v>11221</v>
      </c>
      <c r="B4825" s="5" t="s">
        <v>11222</v>
      </c>
      <c r="C4825" s="5" t="s">
        <v>89</v>
      </c>
      <c r="D4825" s="5" t="s">
        <v>90</v>
      </c>
      <c r="E4825" s="5" t="s">
        <v>94</v>
      </c>
      <c r="F4825" s="9">
        <v>22</v>
      </c>
      <c r="G4825" s="9">
        <v>260</v>
      </c>
      <c r="H4825" s="5" t="s">
        <v>20</v>
      </c>
      <c r="I4825" s="5" t="s">
        <v>11223</v>
      </c>
      <c r="J4825" s="12" t="str">
        <f>HYPERLINK("https://www.boe.es/gazeta/dias/1807/03/06/pdfs/GMD-1807-22.pdf#page=12","Abrir facsímil")</f>
        <v>Abrir facsímil</v>
      </c>
      <c r="K4825" s="15" t="s">
        <v>22</v>
      </c>
    </row>
    <row r="4826" spans="1:11" ht="42" customHeight="1">
      <c r="A4826" s="4" t="s">
        <v>11221</v>
      </c>
      <c r="B4826" s="5" t="s">
        <v>11222</v>
      </c>
      <c r="C4826" s="5" t="s">
        <v>89</v>
      </c>
      <c r="D4826" s="5" t="s">
        <v>90</v>
      </c>
      <c r="E4826" s="5" t="s">
        <v>390</v>
      </c>
      <c r="F4826" s="9">
        <v>24</v>
      </c>
      <c r="G4826" s="9">
        <v>292</v>
      </c>
      <c r="H4826" s="5" t="s">
        <v>20</v>
      </c>
      <c r="I4826" s="5" t="s">
        <v>11224</v>
      </c>
      <c r="J4826" s="12" t="str">
        <f>HYPERLINK("https://www.boe.es/gazeta/dias/1807/03/13/pdfs/GMD-1807-24.pdf#page=16","Abrir facsímil")</f>
        <v>Abrir facsímil</v>
      </c>
      <c r="K4826" s="15" t="s">
        <v>22</v>
      </c>
    </row>
    <row r="4827" spans="1:11" ht="42" customHeight="1">
      <c r="A4827" s="4" t="s">
        <v>11225</v>
      </c>
      <c r="B4827" s="5" t="s">
        <v>11226</v>
      </c>
      <c r="C4827" s="5" t="s">
        <v>89</v>
      </c>
      <c r="D4827" s="5" t="s">
        <v>90</v>
      </c>
      <c r="E4827" s="5" t="s">
        <v>390</v>
      </c>
      <c r="F4827" s="9">
        <v>24</v>
      </c>
      <c r="G4827" s="9">
        <v>292</v>
      </c>
      <c r="H4827" s="5" t="s">
        <v>20</v>
      </c>
      <c r="I4827" s="5" t="s">
        <v>11227</v>
      </c>
      <c r="J4827" s="12" t="str">
        <f>HYPERLINK("https://www.boe.es/gazeta/dias/1807/03/13/pdfs/GMD-1807-24.pdf#page=16","Abrir facsímil")</f>
        <v>Abrir facsímil</v>
      </c>
      <c r="K4827" s="15" t="s">
        <v>22</v>
      </c>
    </row>
    <row r="4828" spans="1:11" ht="42" customHeight="1">
      <c r="A4828" s="4" t="s">
        <v>11228</v>
      </c>
      <c r="B4828" s="5" t="s">
        <v>11229</v>
      </c>
      <c r="C4828" s="5" t="s">
        <v>28</v>
      </c>
      <c r="D4828" s="5" t="s">
        <v>29</v>
      </c>
      <c r="E4828" s="5" t="s">
        <v>441</v>
      </c>
      <c r="F4828" s="9">
        <v>92</v>
      </c>
      <c r="G4828" s="9">
        <v>1072</v>
      </c>
      <c r="H4828" s="5" t="s">
        <v>20</v>
      </c>
      <c r="I4828" s="5" t="s">
        <v>11230</v>
      </c>
      <c r="J4828" s="12" t="str">
        <f>HYPERLINK("https://www.boe.es/gazeta/dias/1807/10/13/pdfs/GMD-1807-92.pdf#page=12","Abrir facsímil")</f>
        <v>Abrir facsímil</v>
      </c>
      <c r="K4828" s="15" t="s">
        <v>22</v>
      </c>
    </row>
    <row r="4829" spans="1:11" ht="42" customHeight="1">
      <c r="A4829" s="4" t="s">
        <v>11231</v>
      </c>
      <c r="B4829" s="5" t="s">
        <v>11232</v>
      </c>
      <c r="C4829" s="5" t="s">
        <v>34</v>
      </c>
      <c r="D4829" s="5" t="s">
        <v>35</v>
      </c>
      <c r="E4829" s="5" t="s">
        <v>219</v>
      </c>
      <c r="F4829" s="9">
        <v>56</v>
      </c>
      <c r="G4829" s="9">
        <v>669</v>
      </c>
      <c r="H4829" s="5" t="s">
        <v>20</v>
      </c>
      <c r="I4829" s="5" t="s">
        <v>11233</v>
      </c>
      <c r="J4829" s="12" t="str">
        <f>HYPERLINK("https://www.boe.es/gazeta/dias/1807/07/03/pdfs/GMD-1807-56.pdf#page=7","Abrir facsímil")</f>
        <v>Abrir facsímil</v>
      </c>
      <c r="K4829" s="15" t="s">
        <v>22</v>
      </c>
    </row>
    <row r="4830" spans="1:11" ht="42" customHeight="1">
      <c r="A4830" s="4" t="s">
        <v>11234</v>
      </c>
      <c r="B4830" s="5" t="s">
        <v>11235</v>
      </c>
      <c r="C4830" s="5" t="s">
        <v>28</v>
      </c>
      <c r="D4830" s="5" t="s">
        <v>29</v>
      </c>
      <c r="E4830" s="5" t="s">
        <v>40</v>
      </c>
      <c r="F4830" s="9">
        <v>26</v>
      </c>
      <c r="G4830" s="9">
        <v>310</v>
      </c>
      <c r="H4830" s="5" t="s">
        <v>20</v>
      </c>
      <c r="I4830" s="5" t="s">
        <v>11236</v>
      </c>
      <c r="J4830" s="12" t="str">
        <f>HYPERLINK("https://www.boe.es/gazeta/dias/1807/03/20/pdfs/GMD-1807-26.pdf#page=6","Abrir facsímil")</f>
        <v>Abrir facsímil</v>
      </c>
      <c r="K4830" s="15" t="s">
        <v>22</v>
      </c>
    </row>
    <row r="4831" spans="1:11" ht="42" customHeight="1">
      <c r="A4831" s="4" t="s">
        <v>11237</v>
      </c>
      <c r="B4831" s="5" t="s">
        <v>11238</v>
      </c>
      <c r="C4831" s="5" t="s">
        <v>34</v>
      </c>
      <c r="D4831" s="5" t="s">
        <v>35</v>
      </c>
      <c r="E4831" s="5" t="s">
        <v>208</v>
      </c>
      <c r="F4831" s="9">
        <v>42</v>
      </c>
      <c r="G4831" s="9">
        <v>502</v>
      </c>
      <c r="H4831" s="5" t="s">
        <v>20</v>
      </c>
      <c r="I4831" s="5" t="s">
        <v>11239</v>
      </c>
      <c r="J4831" s="12" t="str">
        <f>HYPERLINK("https://www.boe.es/gazeta/dias/1807/05/15/pdfs/GMD-1807-42.pdf#page=8","Abrir facsímil")</f>
        <v>Abrir facsímil</v>
      </c>
      <c r="K4831" s="15" t="s">
        <v>22</v>
      </c>
    </row>
    <row r="4832" spans="1:11" ht="42" customHeight="1">
      <c r="A4832" s="4" t="s">
        <v>11240</v>
      </c>
      <c r="B4832" s="5" t="s">
        <v>11241</v>
      </c>
      <c r="C4832" s="5" t="s">
        <v>89</v>
      </c>
      <c r="D4832" s="5" t="s">
        <v>90</v>
      </c>
      <c r="E4832" s="5" t="s">
        <v>620</v>
      </c>
      <c r="F4832" s="9">
        <v>84</v>
      </c>
      <c r="G4832" s="9">
        <v>984</v>
      </c>
      <c r="H4832" s="5" t="s">
        <v>20</v>
      </c>
      <c r="I4832" s="5" t="s">
        <v>11242</v>
      </c>
      <c r="J4832" s="12" t="str">
        <f>HYPERLINK("https://www.boe.es/gazeta/dias/1807/09/22/pdfs/GMD-1807-84.pdf#page=12","Abrir facsímil")</f>
        <v>Abrir facsímil</v>
      </c>
      <c r="K4832" s="15" t="s">
        <v>22</v>
      </c>
    </row>
    <row r="4833" spans="1:11" ht="42" customHeight="1">
      <c r="A4833" s="4" t="s">
        <v>11243</v>
      </c>
      <c r="B4833" s="5" t="s">
        <v>11244</v>
      </c>
      <c r="C4833" s="5" t="s">
        <v>89</v>
      </c>
      <c r="D4833" s="5" t="s">
        <v>90</v>
      </c>
      <c r="E4833" s="5" t="s">
        <v>179</v>
      </c>
      <c r="F4833" s="9">
        <v>100</v>
      </c>
      <c r="G4833" s="9">
        <v>1166</v>
      </c>
      <c r="H4833" s="5" t="s">
        <v>20</v>
      </c>
      <c r="I4833" s="5" t="s">
        <v>11245</v>
      </c>
      <c r="J4833" s="12" t="str">
        <f>HYPERLINK("https://www.boe.es/gazeta/dias/1807/11/10/pdfs/GMD-1807-100.pdf#page=10","Abrir facsímil")</f>
        <v>Abrir facsímil</v>
      </c>
      <c r="K4833" s="15" t="s">
        <v>22</v>
      </c>
    </row>
    <row r="4834" spans="1:11" ht="42" customHeight="1">
      <c r="A4834" s="4" t="s">
        <v>11246</v>
      </c>
      <c r="B4834" s="5" t="s">
        <v>11247</v>
      </c>
      <c r="C4834" s="5" t="s">
        <v>34</v>
      </c>
      <c r="D4834" s="5" t="s">
        <v>35</v>
      </c>
      <c r="E4834" s="5" t="s">
        <v>183</v>
      </c>
      <c r="F4834" s="9">
        <v>1</v>
      </c>
      <c r="G4834" s="9">
        <v>11</v>
      </c>
      <c r="H4834" s="5" t="s">
        <v>20</v>
      </c>
      <c r="I4834" s="5" t="s">
        <v>11248</v>
      </c>
      <c r="J4834" s="12" t="str">
        <f>HYPERLINK("https://www.boe.es/gazeta/dias/1807/01/02/pdfs/GMD-1807-1.pdf#page=11","Abrir facsímil")</f>
        <v>Abrir facsímil</v>
      </c>
      <c r="K4834" s="15" t="s">
        <v>22</v>
      </c>
    </row>
    <row r="4835" spans="1:11" ht="42" customHeight="1">
      <c r="A4835" s="4" t="s">
        <v>11249</v>
      </c>
      <c r="B4835" s="5" t="s">
        <v>11250</v>
      </c>
      <c r="C4835" s="5" t="s">
        <v>34</v>
      </c>
      <c r="D4835" s="5" t="s">
        <v>35</v>
      </c>
      <c r="E4835" s="5" t="s">
        <v>595</v>
      </c>
      <c r="F4835" s="9">
        <v>59</v>
      </c>
      <c r="G4835" s="9">
        <v>702</v>
      </c>
      <c r="H4835" s="5" t="s">
        <v>20</v>
      </c>
      <c r="I4835" s="5" t="s">
        <v>11251</v>
      </c>
      <c r="J4835" s="12" t="str">
        <f>HYPERLINK("https://www.boe.es/gazeta/dias/1807/07/10/pdfs/GMD-1807-59.pdf#page=8","Abrir facsímil")</f>
        <v>Abrir facsímil</v>
      </c>
      <c r="K4835" s="15" t="s">
        <v>22</v>
      </c>
    </row>
    <row r="4836" spans="1:11" ht="42" customHeight="1">
      <c r="A4836" s="4" t="s">
        <v>11252</v>
      </c>
      <c r="B4836" s="5" t="s">
        <v>11253</v>
      </c>
      <c r="C4836" s="5" t="s">
        <v>34</v>
      </c>
      <c r="D4836" s="5" t="s">
        <v>35</v>
      </c>
      <c r="E4836" s="5" t="s">
        <v>65</v>
      </c>
      <c r="F4836" s="9">
        <v>52</v>
      </c>
      <c r="G4836" s="9">
        <v>623</v>
      </c>
      <c r="H4836" s="5" t="s">
        <v>20</v>
      </c>
      <c r="I4836" s="5" t="s">
        <v>11254</v>
      </c>
      <c r="J4836" s="12" t="str">
        <f>HYPERLINK("https://www.boe.es/gazeta/dias/1807/06/19/pdfs/GMD-1807-52.pdf#page=13","Abrir facsímil")</f>
        <v>Abrir facsímil</v>
      </c>
      <c r="K4836" s="15" t="s">
        <v>22</v>
      </c>
    </row>
    <row r="4837" spans="1:11" ht="42" customHeight="1">
      <c r="A4837" s="4" t="s">
        <v>11255</v>
      </c>
      <c r="B4837" s="5" t="s">
        <v>11256</v>
      </c>
      <c r="C4837" s="5" t="s">
        <v>28</v>
      </c>
      <c r="D4837" s="5" t="s">
        <v>29</v>
      </c>
      <c r="E4837" s="5" t="s">
        <v>179</v>
      </c>
      <c r="F4837" s="9">
        <v>100</v>
      </c>
      <c r="G4837" s="9">
        <v>1166</v>
      </c>
      <c r="H4837" s="5" t="s">
        <v>20</v>
      </c>
      <c r="I4837" s="5" t="s">
        <v>11257</v>
      </c>
      <c r="J4837" s="12" t="str">
        <f>HYPERLINK("https://www.boe.es/gazeta/dias/1807/11/10/pdfs/GMD-1807-100.pdf#page=10","Abrir facsímil")</f>
        <v>Abrir facsímil</v>
      </c>
      <c r="K4837" s="15" t="s">
        <v>22</v>
      </c>
    </row>
    <row r="4838" spans="1:11" ht="42" customHeight="1">
      <c r="A4838" s="4" t="s">
        <v>11258</v>
      </c>
      <c r="B4838" s="5" t="s">
        <v>11259</v>
      </c>
      <c r="C4838" s="5" t="s">
        <v>34</v>
      </c>
      <c r="D4838" s="5" t="s">
        <v>35</v>
      </c>
      <c r="E4838" s="5" t="s">
        <v>183</v>
      </c>
      <c r="F4838" s="9">
        <v>1</v>
      </c>
      <c r="G4838" s="9">
        <v>10</v>
      </c>
      <c r="H4838" s="5" t="s">
        <v>20</v>
      </c>
      <c r="I4838" s="5" t="s">
        <v>11260</v>
      </c>
      <c r="J4838" s="12" t="str">
        <f>HYPERLINK("https://www.boe.es/gazeta/dias/1807/01/02/pdfs/GMD-1807-1.pdf#page=10","Abrir facsímil")</f>
        <v>Abrir facsímil</v>
      </c>
      <c r="K4838" s="15" t="s">
        <v>22</v>
      </c>
    </row>
    <row r="4839" spans="1:11" ht="42" customHeight="1">
      <c r="A4839" s="4" t="s">
        <v>11261</v>
      </c>
      <c r="B4839" s="5" t="s">
        <v>11262</v>
      </c>
      <c r="C4839" s="5" t="s">
        <v>34</v>
      </c>
      <c r="D4839" s="5" t="s">
        <v>35</v>
      </c>
      <c r="E4839" s="5" t="s">
        <v>406</v>
      </c>
      <c r="F4839" s="9">
        <v>82</v>
      </c>
      <c r="G4839" s="9">
        <v>956</v>
      </c>
      <c r="H4839" s="5" t="s">
        <v>20</v>
      </c>
      <c r="I4839" s="5" t="s">
        <v>11263</v>
      </c>
      <c r="J4839" s="12" t="str">
        <f>HYPERLINK("https://www.boe.es/gazeta/dias/1807/09/15/pdfs/GMD-1807-82.pdf#page=8","Abrir facsímil")</f>
        <v>Abrir facsímil</v>
      </c>
      <c r="K4839" s="15" t="s">
        <v>22</v>
      </c>
    </row>
    <row r="4840" spans="1:11" ht="42" customHeight="1">
      <c r="A4840" s="4" t="s">
        <v>11264</v>
      </c>
      <c r="B4840" s="5" t="s">
        <v>11265</v>
      </c>
      <c r="C4840" s="5" t="s">
        <v>28</v>
      </c>
      <c r="D4840" s="5" t="s">
        <v>29</v>
      </c>
      <c r="E4840" s="5" t="s">
        <v>406</v>
      </c>
      <c r="F4840" s="9">
        <v>82</v>
      </c>
      <c r="G4840" s="9">
        <v>956</v>
      </c>
      <c r="H4840" s="5" t="s">
        <v>20</v>
      </c>
      <c r="I4840" s="5" t="s">
        <v>11266</v>
      </c>
      <c r="J4840" s="12" t="str">
        <f>HYPERLINK("https://www.boe.es/gazeta/dias/1807/09/15/pdfs/GMD-1807-82.pdf#page=8","Abrir facsímil")</f>
        <v>Abrir facsímil</v>
      </c>
      <c r="K4840" s="15" t="s">
        <v>22</v>
      </c>
    </row>
    <row r="4841" spans="1:11" ht="42" customHeight="1">
      <c r="A4841" s="4" t="s">
        <v>11267</v>
      </c>
      <c r="B4841" s="5" t="s">
        <v>11268</v>
      </c>
      <c r="C4841" s="5" t="s">
        <v>17</v>
      </c>
      <c r="D4841" s="5" t="s">
        <v>18</v>
      </c>
      <c r="E4841" s="5" t="s">
        <v>390</v>
      </c>
      <c r="F4841" s="9">
        <v>24</v>
      </c>
      <c r="G4841" s="9">
        <v>291</v>
      </c>
      <c r="H4841" s="5" t="s">
        <v>20</v>
      </c>
      <c r="I4841" s="5" t="s">
        <v>11269</v>
      </c>
      <c r="J4841" s="12" t="str">
        <f>HYPERLINK("https://www.boe.es/gazeta/dias/1807/03/13/pdfs/GMD-1807-24.pdf#page=15","Abrir facsímil")</f>
        <v>Abrir facsímil</v>
      </c>
      <c r="K4841" s="15" t="s">
        <v>22</v>
      </c>
    </row>
    <row r="4842" spans="1:11" ht="42" customHeight="1">
      <c r="A4842" s="4" t="s">
        <v>11270</v>
      </c>
      <c r="B4842" s="5" t="s">
        <v>11270</v>
      </c>
      <c r="C4842" s="5" t="s">
        <v>28</v>
      </c>
      <c r="D4842" s="5" t="s">
        <v>29</v>
      </c>
      <c r="E4842" s="5" t="s">
        <v>319</v>
      </c>
      <c r="F4842" s="9">
        <v>54</v>
      </c>
      <c r="G4842" s="9">
        <v>649</v>
      </c>
      <c r="H4842" s="5" t="s">
        <v>20</v>
      </c>
      <c r="I4842" s="5" t="s">
        <v>11271</v>
      </c>
      <c r="J4842" s="12" t="str">
        <f>HYPERLINK("https://www.boe.es/gazeta/dias/1807/06/26/pdfs/GMD-1807-54.pdf#page=11","Abrir facsímil")</f>
        <v>Abrir facsímil</v>
      </c>
      <c r="K4842" s="15" t="s">
        <v>22</v>
      </c>
    </row>
    <row r="4843" spans="1:11" ht="42" customHeight="1">
      <c r="A4843" s="4" t="s">
        <v>11272</v>
      </c>
      <c r="B4843" s="5" t="s">
        <v>11273</v>
      </c>
      <c r="C4843" s="5" t="s">
        <v>24</v>
      </c>
      <c r="D4843" s="5" t="s">
        <v>18</v>
      </c>
      <c r="E4843" s="5" t="s">
        <v>666</v>
      </c>
      <c r="F4843" s="9">
        <v>43</v>
      </c>
      <c r="G4843" s="9">
        <v>517</v>
      </c>
      <c r="H4843" s="5" t="s">
        <v>20</v>
      </c>
      <c r="I4843" s="5" t="s">
        <v>11274</v>
      </c>
      <c r="J4843" s="12" t="str">
        <f>HYPERLINK("https://www.boe.es/gazeta/dias/1807/05/19/pdfs/GMD-1807-43.pdf#page=11","Abrir facsímil")</f>
        <v>Abrir facsímil</v>
      </c>
      <c r="K4843" s="15" t="s">
        <v>22</v>
      </c>
    </row>
    <row r="4844" spans="1:11" ht="42" customHeight="1">
      <c r="A4844" s="4" t="s">
        <v>11275</v>
      </c>
      <c r="B4844" s="5" t="s">
        <v>11276</v>
      </c>
      <c r="C4844" s="5" t="s">
        <v>28</v>
      </c>
      <c r="D4844" s="5" t="s">
        <v>29</v>
      </c>
      <c r="E4844" s="5" t="s">
        <v>464</v>
      </c>
      <c r="F4844" s="9">
        <v>18</v>
      </c>
      <c r="G4844" s="9">
        <v>212</v>
      </c>
      <c r="H4844" s="5" t="s">
        <v>20</v>
      </c>
      <c r="I4844" s="5" t="s">
        <v>11277</v>
      </c>
      <c r="J4844" s="12" t="str">
        <f>HYPERLINK("https://www.boe.es/gazeta/dias/1807/02/24/pdfs/GMD-1807-18.pdf#page=12","Abrir facsímil")</f>
        <v>Abrir facsímil</v>
      </c>
      <c r="K4844" s="15" t="s">
        <v>22</v>
      </c>
    </row>
    <row r="4845" spans="1:11" ht="42" customHeight="1">
      <c r="A4845" s="4" t="s">
        <v>11278</v>
      </c>
      <c r="B4845" s="5" t="s">
        <v>11279</v>
      </c>
      <c r="C4845" s="5" t="s">
        <v>17</v>
      </c>
      <c r="D4845" s="5" t="s">
        <v>18</v>
      </c>
      <c r="E4845" s="5" t="s">
        <v>471</v>
      </c>
      <c r="F4845" s="9">
        <v>51</v>
      </c>
      <c r="G4845" s="9">
        <v>605</v>
      </c>
      <c r="H4845" s="5" t="s">
        <v>20</v>
      </c>
      <c r="I4845" s="5" t="s">
        <v>11280</v>
      </c>
      <c r="J4845" s="12" t="str">
        <f>HYPERLINK("https://www.boe.es/gazeta/dias/1807/06/16/pdfs/GMD-1807-51.pdf#page=7","Abrir facsímil")</f>
        <v>Abrir facsímil</v>
      </c>
      <c r="K4845" s="15" t="s">
        <v>22</v>
      </c>
    </row>
    <row r="4846" spans="1:11" ht="42" customHeight="1">
      <c r="A4846" s="4" t="s">
        <v>11281</v>
      </c>
      <c r="B4846" s="5" t="s">
        <v>11282</v>
      </c>
      <c r="C4846" s="5" t="s">
        <v>34</v>
      </c>
      <c r="D4846" s="5" t="s">
        <v>35</v>
      </c>
      <c r="E4846" s="5" t="s">
        <v>1354</v>
      </c>
      <c r="F4846" s="9">
        <v>83</v>
      </c>
      <c r="G4846" s="9">
        <v>969</v>
      </c>
      <c r="H4846" s="5" t="s">
        <v>20</v>
      </c>
      <c r="I4846" s="5" t="s">
        <v>11283</v>
      </c>
      <c r="J4846" s="12" t="str">
        <f>HYPERLINK("https://www.boe.es/gazeta/dias/1807/09/18/pdfs/GMD-1807-83.pdf#page=9","Abrir facsímil")</f>
        <v>Abrir facsímil</v>
      </c>
      <c r="K4846" s="15" t="s">
        <v>22</v>
      </c>
    </row>
    <row r="4847" spans="1:11" ht="42" customHeight="1">
      <c r="A4847" s="4" t="s">
        <v>11284</v>
      </c>
      <c r="B4847" s="5" t="s">
        <v>11285</v>
      </c>
      <c r="C4847" s="5" t="s">
        <v>28</v>
      </c>
      <c r="D4847" s="5" t="s">
        <v>29</v>
      </c>
      <c r="E4847" s="5" t="s">
        <v>40</v>
      </c>
      <c r="F4847" s="9">
        <v>26</v>
      </c>
      <c r="G4847" s="9">
        <v>313</v>
      </c>
      <c r="H4847" s="5" t="s">
        <v>20</v>
      </c>
      <c r="I4847" s="5" t="s">
        <v>11286</v>
      </c>
      <c r="J4847" s="12" t="str">
        <f>HYPERLINK("https://www.boe.es/gazeta/dias/1807/03/20/pdfs/GMD-1807-26.pdf#page=9","Abrir facsímil")</f>
        <v>Abrir facsímil</v>
      </c>
      <c r="K4847" s="15" t="s">
        <v>22</v>
      </c>
    </row>
    <row r="4848" spans="1:11" ht="42" customHeight="1">
      <c r="A4848" s="4" t="s">
        <v>11287</v>
      </c>
      <c r="B4848" s="5" t="s">
        <v>11288</v>
      </c>
      <c r="C4848" s="5" t="s">
        <v>34</v>
      </c>
      <c r="D4848" s="5" t="s">
        <v>35</v>
      </c>
      <c r="E4848" s="5" t="s">
        <v>245</v>
      </c>
      <c r="F4848" s="9">
        <v>97</v>
      </c>
      <c r="G4848" s="9">
        <v>1127</v>
      </c>
      <c r="H4848" s="5" t="s">
        <v>20</v>
      </c>
      <c r="I4848" s="5" t="s">
        <v>11289</v>
      </c>
      <c r="J4848" s="12" t="str">
        <f>HYPERLINK("https://www.boe.es/gazeta/dias/1807/10/30/pdfs/GMD-1807-97.pdf#page=7","Abrir facsímil")</f>
        <v>Abrir facsímil</v>
      </c>
      <c r="K4848" s="15" t="s">
        <v>22</v>
      </c>
    </row>
    <row r="4849" spans="1:11" ht="42" customHeight="1">
      <c r="A4849" s="4" t="s">
        <v>11290</v>
      </c>
      <c r="B4849" s="5" t="s">
        <v>11290</v>
      </c>
      <c r="C4849" s="5" t="s">
        <v>89</v>
      </c>
      <c r="D4849" s="5" t="s">
        <v>90</v>
      </c>
      <c r="E4849" s="5" t="s">
        <v>91</v>
      </c>
      <c r="F4849" s="9">
        <v>109</v>
      </c>
      <c r="G4849" s="9">
        <v>1275</v>
      </c>
      <c r="H4849" s="5" t="s">
        <v>20</v>
      </c>
      <c r="I4849" s="5" t="s">
        <v>11291</v>
      </c>
      <c r="J4849" s="12" t="str">
        <f>HYPERLINK("https://www.boe.es/gazeta/dias/1807/12/08/pdfs/GMD-1807-109.pdf#page=11","Abrir facsímil")</f>
        <v>Abrir facsímil</v>
      </c>
      <c r="K4849" s="15" t="s">
        <v>22</v>
      </c>
    </row>
    <row r="4850" spans="1:11" ht="42" customHeight="1">
      <c r="A4850" s="4" t="s">
        <v>11292</v>
      </c>
      <c r="B4850" s="5" t="s">
        <v>11292</v>
      </c>
      <c r="C4850" s="5" t="s">
        <v>28</v>
      </c>
      <c r="D4850" s="5" t="s">
        <v>29</v>
      </c>
      <c r="E4850" s="5" t="s">
        <v>167</v>
      </c>
      <c r="F4850" s="9">
        <v>77</v>
      </c>
      <c r="G4850" s="9">
        <v>891</v>
      </c>
      <c r="H4850" s="5" t="s">
        <v>20</v>
      </c>
      <c r="I4850" s="5" t="s">
        <v>11293</v>
      </c>
      <c r="J4850" s="12" t="str">
        <f>HYPERLINK("https://www.boe.es/gazeta/dias/1807/08/28/pdfs/GMD-1807-77.pdf#page=7","Abrir facsímil")</f>
        <v>Abrir facsímil</v>
      </c>
      <c r="K4850" s="15" t="s">
        <v>22</v>
      </c>
    </row>
    <row r="4851" spans="1:11" ht="42" customHeight="1">
      <c r="A4851" s="4" t="s">
        <v>11294</v>
      </c>
      <c r="B4851" s="5" t="s">
        <v>11295</v>
      </c>
      <c r="C4851" s="5" t="s">
        <v>49</v>
      </c>
      <c r="D4851" s="5" t="s">
        <v>50</v>
      </c>
      <c r="E4851" s="5" t="s">
        <v>120</v>
      </c>
      <c r="F4851" s="9">
        <v>10</v>
      </c>
      <c r="G4851" s="9">
        <v>109</v>
      </c>
      <c r="H4851" s="5" t="s">
        <v>20</v>
      </c>
      <c r="I4851" s="5" t="s">
        <v>11296</v>
      </c>
      <c r="J4851" s="12" t="str">
        <f>HYPERLINK("https://www.boe.es/gazeta/dias/1807/01/27/pdfs/GMD-1807-10.pdf#page=5","Abrir facsímil")</f>
        <v>Abrir facsímil</v>
      </c>
      <c r="K4851" s="15" t="s">
        <v>22</v>
      </c>
    </row>
    <row r="4852" spans="1:11" ht="42" customHeight="1">
      <c r="A4852" s="4" t="s">
        <v>11294</v>
      </c>
      <c r="B4852" s="5" t="s">
        <v>11295</v>
      </c>
      <c r="C4852" s="5" t="s">
        <v>28</v>
      </c>
      <c r="D4852" s="5" t="s">
        <v>29</v>
      </c>
      <c r="E4852" s="5" t="s">
        <v>327</v>
      </c>
      <c r="F4852" s="9">
        <v>108</v>
      </c>
      <c r="G4852" s="9">
        <v>1260</v>
      </c>
      <c r="H4852" s="5" t="s">
        <v>20</v>
      </c>
      <c r="I4852" s="5" t="s">
        <v>11297</v>
      </c>
      <c r="J4852" s="12" t="str">
        <f>HYPERLINK("https://www.boe.es/gazeta/dias/1807/12/04/pdfs/GMD-1807-108.pdf#page=8","Abrir facsímil")</f>
        <v>Abrir facsímil</v>
      </c>
      <c r="K4852" s="15" t="s">
        <v>22</v>
      </c>
    </row>
    <row r="4853" spans="1:11" ht="42" customHeight="1">
      <c r="A4853" s="4" t="s">
        <v>11298</v>
      </c>
      <c r="B4853" s="5" t="s">
        <v>11298</v>
      </c>
      <c r="C4853" s="5" t="s">
        <v>24</v>
      </c>
      <c r="D4853" s="5" t="s">
        <v>18</v>
      </c>
      <c r="E4853" s="5" t="s">
        <v>101</v>
      </c>
      <c r="F4853" s="9">
        <v>23</v>
      </c>
      <c r="G4853" s="9">
        <v>274</v>
      </c>
      <c r="H4853" s="5" t="s">
        <v>20</v>
      </c>
      <c r="I4853" s="5" t="s">
        <v>11299</v>
      </c>
      <c r="J4853" s="12" t="str">
        <f>HYPERLINK("https://www.boe.es/gazeta/dias/1807/03/10/pdfs/GMD-1807-23.pdf#page=14","Abrir facsímil")</f>
        <v>Abrir facsímil</v>
      </c>
      <c r="K4853" s="15" t="s">
        <v>22</v>
      </c>
    </row>
    <row r="4854" spans="1:11" ht="42" customHeight="1">
      <c r="A4854" s="4" t="s">
        <v>11300</v>
      </c>
      <c r="B4854" s="5" t="s">
        <v>11300</v>
      </c>
      <c r="C4854" s="5" t="s">
        <v>28</v>
      </c>
      <c r="D4854" s="5" t="s">
        <v>29</v>
      </c>
      <c r="E4854" s="5" t="s">
        <v>101</v>
      </c>
      <c r="F4854" s="9">
        <v>23</v>
      </c>
      <c r="G4854" s="9">
        <v>274</v>
      </c>
      <c r="H4854" s="5" t="s">
        <v>20</v>
      </c>
      <c r="I4854" s="5" t="s">
        <v>11301</v>
      </c>
      <c r="J4854" s="12" t="str">
        <f>HYPERLINK("https://www.boe.es/gazeta/dias/1807/03/10/pdfs/GMD-1807-23.pdf#page=14","Abrir facsímil")</f>
        <v>Abrir facsímil</v>
      </c>
      <c r="K4854" s="15" t="s">
        <v>22</v>
      </c>
    </row>
    <row r="4855" spans="1:11" ht="42" customHeight="1">
      <c r="A4855" s="4" t="s">
        <v>11302</v>
      </c>
      <c r="B4855" s="5" t="s">
        <v>11302</v>
      </c>
      <c r="C4855" s="5" t="s">
        <v>28</v>
      </c>
      <c r="D4855" s="5" t="s">
        <v>29</v>
      </c>
      <c r="E4855" s="5" t="s">
        <v>327</v>
      </c>
      <c r="F4855" s="9">
        <v>108</v>
      </c>
      <c r="G4855" s="9">
        <v>1263</v>
      </c>
      <c r="H4855" s="5" t="s">
        <v>20</v>
      </c>
      <c r="I4855" s="5" t="s">
        <v>11303</v>
      </c>
      <c r="J4855" s="12" t="str">
        <f>HYPERLINK("https://www.boe.es/gazeta/dias/1807/12/04/pdfs/GMD-1807-108.pdf#page=11","Abrir facsímil")</f>
        <v>Abrir facsímil</v>
      </c>
      <c r="K4855" s="15" t="s">
        <v>22</v>
      </c>
    </row>
    <row r="4856" spans="1:11" ht="42" customHeight="1">
      <c r="A4856" s="4" t="s">
        <v>11304</v>
      </c>
      <c r="B4856" s="5" t="s">
        <v>11304</v>
      </c>
      <c r="C4856" s="5" t="s">
        <v>34</v>
      </c>
      <c r="D4856" s="5" t="s">
        <v>35</v>
      </c>
      <c r="E4856" s="5" t="s">
        <v>65</v>
      </c>
      <c r="F4856" s="9">
        <v>52</v>
      </c>
      <c r="G4856" s="9">
        <v>622</v>
      </c>
      <c r="H4856" s="5" t="s">
        <v>20</v>
      </c>
      <c r="I4856" s="5" t="s">
        <v>11305</v>
      </c>
      <c r="J4856" s="12" t="str">
        <f>HYPERLINK("https://www.boe.es/gazeta/dias/1807/06/19/pdfs/GMD-1807-52.pdf#page=12","Abrir facsímil")</f>
        <v>Abrir facsímil</v>
      </c>
      <c r="K4856" s="15" t="s">
        <v>22</v>
      </c>
    </row>
    <row r="4857" spans="1:11" ht="42" customHeight="1">
      <c r="A4857" s="4" t="s">
        <v>11306</v>
      </c>
      <c r="B4857" s="5" t="s">
        <v>11306</v>
      </c>
      <c r="C4857" s="5" t="s">
        <v>17</v>
      </c>
      <c r="D4857" s="5" t="s">
        <v>18</v>
      </c>
      <c r="E4857" s="5" t="s">
        <v>393</v>
      </c>
      <c r="F4857" s="9">
        <v>15</v>
      </c>
      <c r="G4857" s="9">
        <v>173</v>
      </c>
      <c r="H4857" s="5" t="s">
        <v>20</v>
      </c>
      <c r="I4857" s="5" t="s">
        <v>11307</v>
      </c>
      <c r="J4857" s="12" t="str">
        <f>HYPERLINK("https://www.boe.es/gazeta/dias/1807/02/13/pdfs/GMD-1807-15.pdf#page=9","Abrir facsímil")</f>
        <v>Abrir facsímil</v>
      </c>
      <c r="K4857" s="15" t="s">
        <v>22</v>
      </c>
    </row>
    <row r="4858" spans="1:11" ht="42" customHeight="1">
      <c r="A4858" s="4" t="s">
        <v>11308</v>
      </c>
      <c r="B4858" s="5" t="s">
        <v>11308</v>
      </c>
      <c r="C4858" s="5" t="s">
        <v>28</v>
      </c>
      <c r="D4858" s="5" t="s">
        <v>29</v>
      </c>
      <c r="E4858" s="5" t="s">
        <v>215</v>
      </c>
      <c r="F4858" s="9">
        <v>5</v>
      </c>
      <c r="G4858" s="9">
        <v>51</v>
      </c>
      <c r="H4858" s="5" t="s">
        <v>20</v>
      </c>
      <c r="I4858" s="5" t="s">
        <v>11309</v>
      </c>
      <c r="J4858" s="12" t="str">
        <f>HYPERLINK("https://www.boe.es/gazeta/dias/1807/01/16/pdfs/GMD-1807-5.pdf#page=7","Abrir facsímil")</f>
        <v>Abrir facsímil</v>
      </c>
      <c r="K4858" s="15" t="s">
        <v>22</v>
      </c>
    </row>
    <row r="4859" spans="1:11" ht="42" customHeight="1">
      <c r="A4859" s="4" t="s">
        <v>11308</v>
      </c>
      <c r="B4859" s="5" t="s">
        <v>11308</v>
      </c>
      <c r="C4859" s="5" t="s">
        <v>17</v>
      </c>
      <c r="D4859" s="5" t="s">
        <v>18</v>
      </c>
      <c r="E4859" s="5" t="s">
        <v>507</v>
      </c>
      <c r="F4859" s="9">
        <v>48</v>
      </c>
      <c r="G4859" s="9">
        <v>570</v>
      </c>
      <c r="H4859" s="5" t="s">
        <v>20</v>
      </c>
      <c r="I4859" s="5" t="s">
        <v>11310</v>
      </c>
      <c r="J4859" s="12" t="str">
        <f>HYPERLINK("https://www.boe.es/gazeta/dias/1807/06/05/pdfs/GMD-1807-48.pdf#page=8","Abrir facsímil")</f>
        <v>Abrir facsímil</v>
      </c>
      <c r="K4859" s="15" t="s">
        <v>22</v>
      </c>
    </row>
    <row r="4860" spans="1:11" ht="42" customHeight="1">
      <c r="A4860" s="4" t="s">
        <v>11311</v>
      </c>
      <c r="B4860" s="5" t="s">
        <v>11311</v>
      </c>
      <c r="C4860" s="5" t="s">
        <v>34</v>
      </c>
      <c r="D4860" s="5" t="s">
        <v>35</v>
      </c>
      <c r="E4860" s="5" t="s">
        <v>156</v>
      </c>
      <c r="F4860" s="9">
        <v>74</v>
      </c>
      <c r="G4860" s="9">
        <v>856</v>
      </c>
      <c r="H4860" s="5" t="s">
        <v>20</v>
      </c>
      <c r="I4860" s="5" t="s">
        <v>11312</v>
      </c>
      <c r="J4860" s="12" t="str">
        <f>HYPERLINK("https://www.boe.es/gazeta/dias/1807/08/18/pdfs/GMD-1807-74.pdf#page=8","Abrir facsímil")</f>
        <v>Abrir facsímil</v>
      </c>
      <c r="K4860" s="15" t="s">
        <v>22</v>
      </c>
    </row>
    <row r="4861" spans="1:11" ht="42" customHeight="1">
      <c r="A4861" s="4" t="s">
        <v>11313</v>
      </c>
      <c r="B4861" s="5" t="s">
        <v>11314</v>
      </c>
      <c r="C4861" s="5" t="s">
        <v>34</v>
      </c>
      <c r="D4861" s="5" t="s">
        <v>35</v>
      </c>
      <c r="E4861" s="5" t="s">
        <v>464</v>
      </c>
      <c r="F4861" s="9">
        <v>18</v>
      </c>
      <c r="G4861" s="9">
        <v>213</v>
      </c>
      <c r="H4861" s="5" t="s">
        <v>20</v>
      </c>
      <c r="I4861" s="5" t="s">
        <v>11315</v>
      </c>
      <c r="J4861" s="12" t="str">
        <f>HYPERLINK("https://www.boe.es/gazeta/dias/1807/02/24/pdfs/GMD-1807-18.pdf#page=13","Abrir facsímil")</f>
        <v>Abrir facsímil</v>
      </c>
      <c r="K4861" s="15" t="s">
        <v>22</v>
      </c>
    </row>
    <row r="4862" spans="1:11" ht="42" customHeight="1">
      <c r="A4862" s="4" t="s">
        <v>11313</v>
      </c>
      <c r="B4862" s="5" t="s">
        <v>11314</v>
      </c>
      <c r="C4862" s="5" t="s">
        <v>34</v>
      </c>
      <c r="D4862" s="5" t="s">
        <v>35</v>
      </c>
      <c r="E4862" s="5" t="s">
        <v>40</v>
      </c>
      <c r="F4862" s="9">
        <v>26</v>
      </c>
      <c r="G4862" s="9">
        <v>312</v>
      </c>
      <c r="H4862" s="5" t="s">
        <v>20</v>
      </c>
      <c r="I4862" s="5" t="s">
        <v>11316</v>
      </c>
      <c r="J4862" s="12" t="str">
        <f>HYPERLINK("https://www.boe.es/gazeta/dias/1807/03/20/pdfs/GMD-1807-26.pdf#page=8","Abrir facsímil")</f>
        <v>Abrir facsímil</v>
      </c>
      <c r="K4862" s="15" t="s">
        <v>22</v>
      </c>
    </row>
    <row r="4863" spans="1:11" ht="42" customHeight="1">
      <c r="A4863" s="4" t="s">
        <v>11317</v>
      </c>
      <c r="B4863" s="5" t="s">
        <v>11318</v>
      </c>
      <c r="C4863" s="5" t="s">
        <v>49</v>
      </c>
      <c r="D4863" s="5" t="s">
        <v>50</v>
      </c>
      <c r="E4863" s="5" t="s">
        <v>30</v>
      </c>
      <c r="F4863" s="9">
        <v>13</v>
      </c>
      <c r="G4863" s="9">
        <v>148</v>
      </c>
      <c r="H4863" s="5" t="s">
        <v>20</v>
      </c>
      <c r="I4863" s="5" t="s">
        <v>11319</v>
      </c>
      <c r="J4863" s="12" t="str">
        <f>HYPERLINK("https://www.boe.es/gazeta/dias/1807/02/06/pdfs/GMD-1807-13.pdf#page=8","Abrir facsímil")</f>
        <v>Abrir facsímil</v>
      </c>
      <c r="K4863" s="15" t="s">
        <v>22</v>
      </c>
    </row>
    <row r="4864" spans="1:11" ht="42" customHeight="1">
      <c r="A4864" s="4" t="s">
        <v>11317</v>
      </c>
      <c r="B4864" s="5" t="s">
        <v>11318</v>
      </c>
      <c r="C4864" s="5" t="s">
        <v>28</v>
      </c>
      <c r="D4864" s="5" t="s">
        <v>29</v>
      </c>
      <c r="E4864" s="5" t="s">
        <v>176</v>
      </c>
      <c r="F4864" s="9">
        <v>17</v>
      </c>
      <c r="G4864" s="9">
        <v>194</v>
      </c>
      <c r="H4864" s="5" t="s">
        <v>20</v>
      </c>
      <c r="I4864" s="5" t="s">
        <v>11320</v>
      </c>
      <c r="J4864" s="12" t="str">
        <f>HYPERLINK("https://www.boe.es/gazeta/dias/1807/02/20/pdfs/GMD-1807-17.pdf#page=6","Abrir facsímil")</f>
        <v>Abrir facsímil</v>
      </c>
      <c r="K4864" s="15" t="s">
        <v>22</v>
      </c>
    </row>
    <row r="4865" spans="1:11" ht="42" customHeight="1">
      <c r="A4865" s="4" t="s">
        <v>11321</v>
      </c>
      <c r="B4865" s="5" t="s">
        <v>11322</v>
      </c>
      <c r="C4865" s="5" t="s">
        <v>17</v>
      </c>
      <c r="D4865" s="5" t="s">
        <v>18</v>
      </c>
      <c r="E4865" s="5" t="s">
        <v>305</v>
      </c>
      <c r="F4865" s="9">
        <v>53</v>
      </c>
      <c r="G4865" s="9">
        <v>637</v>
      </c>
      <c r="H4865" s="5" t="s">
        <v>20</v>
      </c>
      <c r="I4865" s="5" t="s">
        <v>11323</v>
      </c>
      <c r="J4865" s="12" t="str">
        <f>HYPERLINK("https://www.boe.es/gazeta/dias/1807/06/23/pdfs/GMD-1807-53.pdf#page=11","Abrir facsímil")</f>
        <v>Abrir facsímil</v>
      </c>
      <c r="K4865" s="15" t="s">
        <v>22</v>
      </c>
    </row>
    <row r="4866" spans="1:11" ht="42" customHeight="1">
      <c r="A4866" s="4" t="s">
        <v>11324</v>
      </c>
      <c r="B4866" s="5" t="s">
        <v>11325</v>
      </c>
      <c r="C4866" s="5" t="s">
        <v>34</v>
      </c>
      <c r="D4866" s="5" t="s">
        <v>35</v>
      </c>
      <c r="E4866" s="5" t="s">
        <v>350</v>
      </c>
      <c r="F4866" s="9">
        <v>112</v>
      </c>
      <c r="G4866" s="9">
        <v>1311</v>
      </c>
      <c r="H4866" s="5" t="s">
        <v>20</v>
      </c>
      <c r="I4866" s="5" t="s">
        <v>11326</v>
      </c>
      <c r="J4866" s="12" t="str">
        <f>HYPERLINK("https://www.boe.es/gazeta/dias/1807/12/18/pdfs/GMD-1807-112.pdf#page=11","Abrir facsímil")</f>
        <v>Abrir facsímil</v>
      </c>
      <c r="K4866" s="15" t="s">
        <v>22</v>
      </c>
    </row>
    <row r="4867" spans="1:11" ht="42" customHeight="1">
      <c r="A4867" s="4" t="s">
        <v>11327</v>
      </c>
      <c r="B4867" s="5" t="s">
        <v>11328</v>
      </c>
      <c r="C4867" s="5" t="s">
        <v>34</v>
      </c>
      <c r="D4867" s="5" t="s">
        <v>35</v>
      </c>
      <c r="E4867" s="5" t="s">
        <v>81</v>
      </c>
      <c r="F4867" s="9">
        <v>49</v>
      </c>
      <c r="G4867" s="9">
        <v>585</v>
      </c>
      <c r="H4867" s="5" t="s">
        <v>20</v>
      </c>
      <c r="I4867" s="5" t="s">
        <v>11329</v>
      </c>
      <c r="J4867" s="12" t="str">
        <f>HYPERLINK("https://www.boe.es/gazeta/dias/1807/06/09/pdfs/GMD-1807-49.pdf#page=11","Abrir facsímil")</f>
        <v>Abrir facsímil</v>
      </c>
      <c r="K4867" s="15" t="s">
        <v>22</v>
      </c>
    </row>
    <row r="4868" spans="1:11" ht="42" customHeight="1">
      <c r="A4868" s="4" t="s">
        <v>11327</v>
      </c>
      <c r="B4868" s="5" t="s">
        <v>11328</v>
      </c>
      <c r="C4868" s="5" t="s">
        <v>34</v>
      </c>
      <c r="D4868" s="5" t="s">
        <v>35</v>
      </c>
      <c r="E4868" s="5" t="s">
        <v>319</v>
      </c>
      <c r="F4868" s="9">
        <v>54</v>
      </c>
      <c r="G4868" s="9">
        <v>644</v>
      </c>
      <c r="H4868" s="5" t="s">
        <v>20</v>
      </c>
      <c r="I4868" s="5" t="s">
        <v>11330</v>
      </c>
      <c r="J4868" s="12" t="str">
        <f>HYPERLINK("https://www.boe.es/gazeta/dias/1807/06/26/pdfs/GMD-1807-54.pdf#page=6","Abrir facsímil")</f>
        <v>Abrir facsímil</v>
      </c>
      <c r="K4868" s="15" t="s">
        <v>22</v>
      </c>
    </row>
    <row r="4869" spans="1:11" ht="42" customHeight="1">
      <c r="A4869" s="4" t="s">
        <v>11327</v>
      </c>
      <c r="B4869" s="5" t="s">
        <v>11328</v>
      </c>
      <c r="C4869" s="5" t="s">
        <v>17</v>
      </c>
      <c r="D4869" s="5" t="s">
        <v>18</v>
      </c>
      <c r="E4869" s="5" t="s">
        <v>53</v>
      </c>
      <c r="F4869" s="9">
        <v>64</v>
      </c>
      <c r="G4869" s="9">
        <v>746</v>
      </c>
      <c r="H4869" s="5" t="s">
        <v>20</v>
      </c>
      <c r="I4869" s="5" t="s">
        <v>11331</v>
      </c>
      <c r="J4869" s="12" t="str">
        <f>HYPERLINK("https://www.boe.es/gazeta/dias/1807/07/21/pdfs/GMD-1807-64.pdf#page=8","Abrir facsímil")</f>
        <v>Abrir facsímil</v>
      </c>
      <c r="K4869" s="15" t="s">
        <v>22</v>
      </c>
    </row>
    <row r="4870" spans="1:11" ht="42" customHeight="1">
      <c r="A4870" s="4" t="s">
        <v>11332</v>
      </c>
      <c r="B4870" s="5" t="s">
        <v>11333</v>
      </c>
      <c r="C4870" s="5" t="s">
        <v>28</v>
      </c>
      <c r="D4870" s="5" t="s">
        <v>29</v>
      </c>
      <c r="E4870" s="5" t="s">
        <v>101</v>
      </c>
      <c r="F4870" s="9">
        <v>23</v>
      </c>
      <c r="G4870" s="9">
        <v>270</v>
      </c>
      <c r="H4870" s="5" t="s">
        <v>20</v>
      </c>
      <c r="I4870" s="5" t="s">
        <v>11334</v>
      </c>
      <c r="J4870" s="12" t="str">
        <f>HYPERLINK("https://www.boe.es/gazeta/dias/1807/03/10/pdfs/GMD-1807-23.pdf#page=10","Abrir facsímil")</f>
        <v>Abrir facsímil</v>
      </c>
      <c r="K4870" s="15" t="s">
        <v>22</v>
      </c>
    </row>
    <row r="4871" spans="1:11" ht="42" customHeight="1">
      <c r="A4871" s="4" t="s">
        <v>11335</v>
      </c>
      <c r="B4871" s="5" t="s">
        <v>11336</v>
      </c>
      <c r="C4871" s="5" t="s">
        <v>34</v>
      </c>
      <c r="D4871" s="5" t="s">
        <v>35</v>
      </c>
      <c r="E4871" s="5" t="s">
        <v>106</v>
      </c>
      <c r="F4871" s="9">
        <v>39</v>
      </c>
      <c r="G4871" s="9">
        <v>465</v>
      </c>
      <c r="H4871" s="5" t="s">
        <v>20</v>
      </c>
      <c r="I4871" s="5" t="s">
        <v>11337</v>
      </c>
      <c r="J4871" s="12" t="str">
        <f>HYPERLINK("https://www.boe.es/gazeta/dias/1807/05/05/pdfs/GMD-1807-39.pdf#page=7","Abrir facsímil")</f>
        <v>Abrir facsímil</v>
      </c>
      <c r="K4871" s="15" t="s">
        <v>22</v>
      </c>
    </row>
    <row r="4872" spans="1:11" ht="42" customHeight="1">
      <c r="A4872" s="4" t="s">
        <v>11338</v>
      </c>
      <c r="B4872" s="5" t="s">
        <v>11339</v>
      </c>
      <c r="C4872" s="5" t="s">
        <v>28</v>
      </c>
      <c r="D4872" s="5" t="s">
        <v>29</v>
      </c>
      <c r="E4872" s="5" t="s">
        <v>19</v>
      </c>
      <c r="F4872" s="9">
        <v>41</v>
      </c>
      <c r="G4872" s="9">
        <v>491</v>
      </c>
      <c r="H4872" s="5" t="s">
        <v>20</v>
      </c>
      <c r="I4872" s="5" t="s">
        <v>11340</v>
      </c>
      <c r="J4872" s="12" t="str">
        <f>HYPERLINK("https://www.boe.es/gazeta/dias/1807/05/12/pdfs/GMD-1807-41.pdf#page=9","Abrir facsímil")</f>
        <v>Abrir facsímil</v>
      </c>
      <c r="K4872" s="15" t="s">
        <v>22</v>
      </c>
    </row>
    <row r="4873" spans="1:11" ht="42" customHeight="1">
      <c r="A4873" s="4" t="s">
        <v>11341</v>
      </c>
      <c r="B4873" s="5" t="s">
        <v>11342</v>
      </c>
      <c r="C4873" s="5" t="s">
        <v>34</v>
      </c>
      <c r="D4873" s="5" t="s">
        <v>35</v>
      </c>
      <c r="E4873" s="5" t="s">
        <v>183</v>
      </c>
      <c r="F4873" s="9">
        <v>1</v>
      </c>
      <c r="G4873" s="9">
        <v>11</v>
      </c>
      <c r="H4873" s="5" t="s">
        <v>20</v>
      </c>
      <c r="I4873" s="5" t="s">
        <v>11343</v>
      </c>
      <c r="J4873" s="12" t="str">
        <f>HYPERLINK("https://www.boe.es/gazeta/dias/1807/01/02/pdfs/GMD-1807-1.pdf#page=11","Abrir facsímil")</f>
        <v>Abrir facsímil</v>
      </c>
      <c r="K4873" s="15" t="s">
        <v>22</v>
      </c>
    </row>
    <row r="4874" spans="1:11" ht="42" customHeight="1">
      <c r="A4874" s="4" t="s">
        <v>11344</v>
      </c>
      <c r="B4874" s="5" t="s">
        <v>11345</v>
      </c>
      <c r="C4874" s="5" t="s">
        <v>34</v>
      </c>
      <c r="D4874" s="5" t="s">
        <v>35</v>
      </c>
      <c r="E4874" s="5" t="s">
        <v>595</v>
      </c>
      <c r="F4874" s="9">
        <v>59</v>
      </c>
      <c r="G4874" s="9">
        <v>702</v>
      </c>
      <c r="H4874" s="5" t="s">
        <v>20</v>
      </c>
      <c r="I4874" s="5" t="s">
        <v>11346</v>
      </c>
      <c r="J4874" s="12" t="str">
        <f>HYPERLINK("https://www.boe.es/gazeta/dias/1807/07/10/pdfs/GMD-1807-59.pdf#page=8","Abrir facsímil")</f>
        <v>Abrir facsímil</v>
      </c>
      <c r="K4874" s="15" t="s">
        <v>22</v>
      </c>
    </row>
    <row r="4875" spans="1:11" ht="42" customHeight="1">
      <c r="A4875" s="4" t="s">
        <v>11347</v>
      </c>
      <c r="B4875" s="5" t="s">
        <v>11348</v>
      </c>
      <c r="C4875" s="5" t="s">
        <v>17</v>
      </c>
      <c r="D4875" s="5" t="s">
        <v>18</v>
      </c>
      <c r="E4875" s="5" t="s">
        <v>361</v>
      </c>
      <c r="F4875" s="9">
        <v>113</v>
      </c>
      <c r="G4875" s="9">
        <v>1322</v>
      </c>
      <c r="H4875" s="5" t="s">
        <v>20</v>
      </c>
      <c r="I4875" s="5" t="s">
        <v>11349</v>
      </c>
      <c r="J4875" s="12" t="str">
        <f>HYPERLINK("https://www.boe.es/gazeta/dias/1807/12/22/pdfs/GMD-1807-113.pdf#page=10","Abrir facsímil")</f>
        <v>Abrir facsímil</v>
      </c>
      <c r="K4875" s="15" t="s">
        <v>22</v>
      </c>
    </row>
    <row r="4876" spans="1:11" ht="42" customHeight="1">
      <c r="A4876" s="4" t="s">
        <v>11350</v>
      </c>
      <c r="B4876" s="5" t="s">
        <v>11351</v>
      </c>
      <c r="C4876" s="5" t="s">
        <v>34</v>
      </c>
      <c r="D4876" s="5" t="s">
        <v>35</v>
      </c>
      <c r="E4876" s="5" t="s">
        <v>109</v>
      </c>
      <c r="F4876" s="9">
        <v>58</v>
      </c>
      <c r="G4876" s="9">
        <v>688</v>
      </c>
      <c r="H4876" s="5" t="s">
        <v>20</v>
      </c>
      <c r="I4876" s="5" t="s">
        <v>11352</v>
      </c>
      <c r="J4876" s="12" t="str">
        <f>HYPERLINK("https://www.boe.es/gazeta/dias/1807/07/07/pdfs/GMD-1807-58.pdf#page=6","Abrir facsímil")</f>
        <v>Abrir facsímil</v>
      </c>
      <c r="K4876" s="15" t="s">
        <v>22</v>
      </c>
    </row>
    <row r="4877" spans="1:11" ht="42" customHeight="1">
      <c r="A4877" s="4" t="s">
        <v>11353</v>
      </c>
      <c r="B4877" s="5" t="s">
        <v>11354</v>
      </c>
      <c r="C4877" s="5" t="s">
        <v>28</v>
      </c>
      <c r="D4877" s="5" t="s">
        <v>29</v>
      </c>
      <c r="E4877" s="5" t="s">
        <v>127</v>
      </c>
      <c r="F4877" s="9">
        <v>81</v>
      </c>
      <c r="G4877" s="9">
        <v>945</v>
      </c>
      <c r="H4877" s="5" t="s">
        <v>20</v>
      </c>
      <c r="I4877" s="5" t="s">
        <v>11355</v>
      </c>
      <c r="J4877" s="12" t="str">
        <f>HYPERLINK("https://www.boe.es/gazeta/dias/1807/09/11/pdfs/GMD-1807-81.pdf#page=9","Abrir facsímil")</f>
        <v>Abrir facsímil</v>
      </c>
      <c r="K4877" s="15" t="s">
        <v>22</v>
      </c>
    </row>
    <row r="4878" spans="1:11" ht="42" customHeight="1">
      <c r="A4878" s="4" t="s">
        <v>11356</v>
      </c>
      <c r="B4878" s="5" t="s">
        <v>11357</v>
      </c>
      <c r="C4878" s="5" t="s">
        <v>28</v>
      </c>
      <c r="D4878" s="5" t="s">
        <v>29</v>
      </c>
      <c r="E4878" s="5" t="s">
        <v>156</v>
      </c>
      <c r="F4878" s="9">
        <v>74</v>
      </c>
      <c r="G4878" s="9">
        <v>860</v>
      </c>
      <c r="H4878" s="5" t="s">
        <v>20</v>
      </c>
      <c r="I4878" s="5" t="s">
        <v>11358</v>
      </c>
      <c r="J4878" s="12" t="str">
        <f>HYPERLINK("https://www.boe.es/gazeta/dias/1807/08/18/pdfs/GMD-1807-74.pdf#page=12","Abrir facsímil")</f>
        <v>Abrir facsímil</v>
      </c>
      <c r="K4878" s="15" t="s">
        <v>22</v>
      </c>
    </row>
    <row r="4879" spans="1:11" ht="42" customHeight="1">
      <c r="A4879" s="4" t="s">
        <v>11359</v>
      </c>
      <c r="B4879" s="5" t="s">
        <v>11360</v>
      </c>
      <c r="C4879" s="5" t="s">
        <v>34</v>
      </c>
      <c r="D4879" s="5" t="s">
        <v>35</v>
      </c>
      <c r="E4879" s="5" t="s">
        <v>106</v>
      </c>
      <c r="F4879" s="9">
        <v>39</v>
      </c>
      <c r="G4879" s="9">
        <v>465</v>
      </c>
      <c r="H4879" s="5" t="s">
        <v>20</v>
      </c>
      <c r="I4879" s="5" t="s">
        <v>11361</v>
      </c>
      <c r="J4879" s="12" t="str">
        <f>HYPERLINK("https://www.boe.es/gazeta/dias/1807/05/05/pdfs/GMD-1807-39.pdf#page=7","Abrir facsímil")</f>
        <v>Abrir facsímil</v>
      </c>
      <c r="K4879" s="15" t="s">
        <v>22</v>
      </c>
    </row>
    <row r="4880" spans="1:11" ht="42" customHeight="1">
      <c r="A4880" s="4" t="s">
        <v>11362</v>
      </c>
      <c r="B4880" s="5" t="s">
        <v>11363</v>
      </c>
      <c r="C4880" s="5" t="s">
        <v>34</v>
      </c>
      <c r="D4880" s="5" t="s">
        <v>35</v>
      </c>
      <c r="E4880" s="5" t="s">
        <v>654</v>
      </c>
      <c r="F4880" s="9">
        <v>94</v>
      </c>
      <c r="G4880" s="9">
        <v>1093</v>
      </c>
      <c r="H4880" s="5" t="s">
        <v>20</v>
      </c>
      <c r="I4880" s="5" t="s">
        <v>11364</v>
      </c>
      <c r="J4880" s="12" t="str">
        <f>HYPERLINK("https://www.boe.es/gazeta/dias/1807/10/20/pdfs/GMD-1807-94.pdf#page=9","Abrir facsímil")</f>
        <v>Abrir facsímil</v>
      </c>
      <c r="K4880" s="15" t="s">
        <v>22</v>
      </c>
    </row>
    <row r="4881" spans="1:11" ht="42" customHeight="1">
      <c r="A4881" s="4" t="s">
        <v>11365</v>
      </c>
      <c r="B4881" s="5" t="s">
        <v>11366</v>
      </c>
      <c r="C4881" s="5" t="s">
        <v>34</v>
      </c>
      <c r="D4881" s="5" t="s">
        <v>35</v>
      </c>
      <c r="E4881" s="5" t="s">
        <v>176</v>
      </c>
      <c r="F4881" s="9">
        <v>17</v>
      </c>
      <c r="G4881" s="9">
        <v>195</v>
      </c>
      <c r="H4881" s="5" t="s">
        <v>20</v>
      </c>
      <c r="I4881" s="5" t="s">
        <v>11367</v>
      </c>
      <c r="J4881" s="12" t="str">
        <f>HYPERLINK("https://www.boe.es/gazeta/dias/1807/02/20/pdfs/GMD-1807-17.pdf#page=7","Abrir facsímil")</f>
        <v>Abrir facsímil</v>
      </c>
      <c r="K4881" s="15" t="s">
        <v>22</v>
      </c>
    </row>
    <row r="4882" spans="1:11" ht="42" customHeight="1">
      <c r="A4882" s="4" t="s">
        <v>11368</v>
      </c>
      <c r="B4882" s="5" t="s">
        <v>11369</v>
      </c>
      <c r="C4882" s="5" t="s">
        <v>34</v>
      </c>
      <c r="D4882" s="5" t="s">
        <v>35</v>
      </c>
      <c r="E4882" s="5" t="s">
        <v>1456</v>
      </c>
      <c r="F4882" s="9">
        <v>98</v>
      </c>
      <c r="G4882" s="9">
        <v>1142</v>
      </c>
      <c r="H4882" s="5" t="s">
        <v>20</v>
      </c>
      <c r="I4882" s="5" t="s">
        <v>11370</v>
      </c>
      <c r="J4882" s="12" t="str">
        <f>HYPERLINK("https://www.boe.es/gazeta/dias/1807/11/03/pdfs/GMD-1807-98.pdf#page=10","Abrir facsímil")</f>
        <v>Abrir facsímil</v>
      </c>
      <c r="K4882" s="15" t="s">
        <v>22</v>
      </c>
    </row>
    <row r="4883" spans="1:11" ht="42" customHeight="1">
      <c r="A4883" s="4" t="s">
        <v>11371</v>
      </c>
      <c r="B4883" s="5" t="s">
        <v>11372</v>
      </c>
      <c r="C4883" s="5" t="s">
        <v>28</v>
      </c>
      <c r="D4883" s="5" t="s">
        <v>29</v>
      </c>
      <c r="E4883" s="5" t="s">
        <v>686</v>
      </c>
      <c r="F4883" s="9">
        <v>106</v>
      </c>
      <c r="G4883" s="9">
        <v>1238</v>
      </c>
      <c r="H4883" s="5" t="s">
        <v>20</v>
      </c>
      <c r="I4883" s="5" t="s">
        <v>11373</v>
      </c>
      <c r="J4883" s="12" t="str">
        <f>HYPERLINK("https://www.boe.es/gazeta/dias/1807/11/27/pdfs/GMD-1807-106.pdf#page=10","Abrir facsímil")</f>
        <v>Abrir facsímil</v>
      </c>
      <c r="K4883" s="15" t="s">
        <v>22</v>
      </c>
    </row>
    <row r="4884" spans="1:11" ht="42" customHeight="1">
      <c r="A4884" s="4" t="s">
        <v>11374</v>
      </c>
      <c r="B4884" s="5" t="s">
        <v>11375</v>
      </c>
      <c r="C4884" s="5" t="s">
        <v>34</v>
      </c>
      <c r="D4884" s="5" t="s">
        <v>35</v>
      </c>
      <c r="E4884" s="5" t="s">
        <v>127</v>
      </c>
      <c r="F4884" s="9">
        <v>81</v>
      </c>
      <c r="G4884" s="9">
        <v>948</v>
      </c>
      <c r="H4884" s="5" t="s">
        <v>20</v>
      </c>
      <c r="I4884" s="5" t="s">
        <v>11376</v>
      </c>
      <c r="J4884" s="12" t="str">
        <f>HYPERLINK("https://www.boe.es/gazeta/dias/1807/09/11/pdfs/GMD-1807-81.pdf#page=12","Abrir facsímil")</f>
        <v>Abrir facsímil</v>
      </c>
      <c r="K4884" s="15" t="s">
        <v>22</v>
      </c>
    </row>
    <row r="4885" spans="1:11" ht="42" customHeight="1">
      <c r="A4885" s="4" t="s">
        <v>11377</v>
      </c>
      <c r="B4885" s="5" t="s">
        <v>11378</v>
      </c>
      <c r="C4885" s="5" t="s">
        <v>28</v>
      </c>
      <c r="D4885" s="5" t="s">
        <v>29</v>
      </c>
      <c r="E4885" s="5" t="s">
        <v>301</v>
      </c>
      <c r="F4885" s="9">
        <v>89</v>
      </c>
      <c r="G4885" s="9">
        <v>1031</v>
      </c>
      <c r="H4885" s="5" t="s">
        <v>20</v>
      </c>
      <c r="I4885" s="5" t="s">
        <v>11379</v>
      </c>
      <c r="J4885" s="12" t="str">
        <f>HYPERLINK("https://www.boe.es/gazeta/dias/1807/10/02/pdfs/GMD-1807-89.pdf#page=11","Abrir facsímil")</f>
        <v>Abrir facsímil</v>
      </c>
      <c r="K4885" s="15" t="s">
        <v>22</v>
      </c>
    </row>
    <row r="4886" spans="1:11" ht="42" customHeight="1">
      <c r="A4886" s="4" t="s">
        <v>11380</v>
      </c>
      <c r="B4886" s="5" t="s">
        <v>11381</v>
      </c>
      <c r="C4886" s="5" t="s">
        <v>34</v>
      </c>
      <c r="D4886" s="5" t="s">
        <v>35</v>
      </c>
      <c r="E4886" s="5" t="s">
        <v>595</v>
      </c>
      <c r="F4886" s="9">
        <v>59</v>
      </c>
      <c r="G4886" s="9">
        <v>702</v>
      </c>
      <c r="H4886" s="5" t="s">
        <v>20</v>
      </c>
      <c r="I4886" s="5" t="s">
        <v>11382</v>
      </c>
      <c r="J4886" s="12" t="str">
        <f>HYPERLINK("https://www.boe.es/gazeta/dias/1807/07/10/pdfs/GMD-1807-59.pdf#page=8","Abrir facsímil")</f>
        <v>Abrir facsímil</v>
      </c>
      <c r="K4886" s="15" t="s">
        <v>22</v>
      </c>
    </row>
    <row r="4887" spans="1:11" ht="42" customHeight="1">
      <c r="A4887" s="4" t="s">
        <v>11383</v>
      </c>
      <c r="B4887" s="5" t="s">
        <v>11384</v>
      </c>
      <c r="C4887" s="5" t="s">
        <v>34</v>
      </c>
      <c r="D4887" s="5" t="s">
        <v>35</v>
      </c>
      <c r="E4887" s="5" t="s">
        <v>581</v>
      </c>
      <c r="F4887" s="9">
        <v>71</v>
      </c>
      <c r="G4887" s="9">
        <v>815</v>
      </c>
      <c r="H4887" s="5" t="s">
        <v>20</v>
      </c>
      <c r="I4887" s="5" t="s">
        <v>11385</v>
      </c>
      <c r="J4887" s="12" t="str">
        <f>HYPERLINK("https://www.boe.es/gazeta/dias/1807/08/07/pdfs/GMD-1807-71.pdf#page=7","Abrir facsímil")</f>
        <v>Abrir facsímil</v>
      </c>
      <c r="K4887" s="15" t="s">
        <v>22</v>
      </c>
    </row>
    <row r="4888" spans="1:11" ht="42" customHeight="1">
      <c r="A4888" s="4" t="s">
        <v>11386</v>
      </c>
      <c r="B4888" s="5" t="s">
        <v>11386</v>
      </c>
      <c r="C4888" s="5" t="s">
        <v>49</v>
      </c>
      <c r="D4888" s="5" t="s">
        <v>50</v>
      </c>
      <c r="E4888" s="5" t="s">
        <v>65</v>
      </c>
      <c r="F4888" s="9">
        <v>52</v>
      </c>
      <c r="G4888" s="9">
        <v>613</v>
      </c>
      <c r="H4888" s="5" t="s">
        <v>20</v>
      </c>
      <c r="I4888" s="5" t="s">
        <v>11387</v>
      </c>
      <c r="J4888" s="12" t="str">
        <f>HYPERLINK("https://www.boe.es/gazeta/dias/1807/06/19/pdfs/GMD-1807-52.pdf#page=3","Abrir facsímil")</f>
        <v>Abrir facsímil</v>
      </c>
      <c r="K4888" s="15" t="s">
        <v>22</v>
      </c>
    </row>
    <row r="4889" spans="1:11" ht="42" customHeight="1">
      <c r="A4889" s="4" t="s">
        <v>11388</v>
      </c>
      <c r="B4889" s="5" t="s">
        <v>11389</v>
      </c>
      <c r="C4889" s="5" t="s">
        <v>34</v>
      </c>
      <c r="D4889" s="5" t="s">
        <v>35</v>
      </c>
      <c r="E4889" s="5" t="s">
        <v>79</v>
      </c>
      <c r="F4889" s="9">
        <v>11</v>
      </c>
      <c r="G4889" s="9">
        <v>124</v>
      </c>
      <c r="H4889" s="5" t="s">
        <v>20</v>
      </c>
      <c r="I4889" s="5" t="s">
        <v>11390</v>
      </c>
      <c r="J4889" s="12" t="str">
        <f>HYPERLINK("https://www.boe.es/gazeta/dias/1807/01/30/pdfs/GMD-1807-11.pdf#page=8","Abrir facsímil")</f>
        <v>Abrir facsímil</v>
      </c>
      <c r="K4889" s="15" t="s">
        <v>22</v>
      </c>
    </row>
    <row r="4890" spans="1:11" ht="42" customHeight="1">
      <c r="A4890" s="4" t="s">
        <v>11391</v>
      </c>
      <c r="B4890" s="5" t="s">
        <v>11392</v>
      </c>
      <c r="C4890" s="5" t="s">
        <v>34</v>
      </c>
      <c r="D4890" s="5" t="s">
        <v>35</v>
      </c>
      <c r="E4890" s="5" t="s">
        <v>793</v>
      </c>
      <c r="F4890" s="9">
        <v>87</v>
      </c>
      <c r="G4890" s="9">
        <v>1005</v>
      </c>
      <c r="H4890" s="5" t="s">
        <v>20</v>
      </c>
      <c r="I4890" s="5" t="s">
        <v>11393</v>
      </c>
      <c r="J4890" s="12" t="str">
        <f>HYPERLINK("https://www.boe.es/gazeta/dias/1807/09/29/pdfs/GMD-1807-87.pdf#page=5","Abrir facsímil")</f>
        <v>Abrir facsímil</v>
      </c>
      <c r="K4890" s="15" t="s">
        <v>22</v>
      </c>
    </row>
    <row r="4891" spans="1:11" ht="42" customHeight="1">
      <c r="A4891" s="4" t="s">
        <v>11391</v>
      </c>
      <c r="B4891" s="5" t="s">
        <v>11392</v>
      </c>
      <c r="C4891" s="5" t="s">
        <v>49</v>
      </c>
      <c r="D4891" s="5" t="s">
        <v>50</v>
      </c>
      <c r="E4891" s="5" t="s">
        <v>179</v>
      </c>
      <c r="F4891" s="9">
        <v>100</v>
      </c>
      <c r="G4891" s="9">
        <v>1163</v>
      </c>
      <c r="H4891" s="5" t="s">
        <v>20</v>
      </c>
      <c r="I4891" s="5" t="s">
        <v>11394</v>
      </c>
      <c r="J4891" s="12" t="str">
        <f>HYPERLINK("https://www.boe.es/gazeta/dias/1807/11/10/pdfs/GMD-1807-100.pdf#page=7","Abrir facsímil")</f>
        <v>Abrir facsímil</v>
      </c>
      <c r="K4891" s="15" t="s">
        <v>22</v>
      </c>
    </row>
    <row r="4892" spans="1:11" ht="42" customHeight="1">
      <c r="A4892" s="4" t="s">
        <v>11391</v>
      </c>
      <c r="B4892" s="5" t="s">
        <v>11392</v>
      </c>
      <c r="C4892" s="5" t="s">
        <v>49</v>
      </c>
      <c r="D4892" s="5" t="s">
        <v>50</v>
      </c>
      <c r="E4892" s="5" t="s">
        <v>384</v>
      </c>
      <c r="F4892" s="9">
        <v>111</v>
      </c>
      <c r="G4892" s="9">
        <v>1296</v>
      </c>
      <c r="H4892" s="5" t="s">
        <v>20</v>
      </c>
      <c r="I4892" s="5" t="s">
        <v>11395</v>
      </c>
      <c r="J4892" s="12" t="str">
        <f>HYPERLINK("https://www.boe.es/gazeta/dias/1807/12/15/pdfs/GMD-1807-111.pdf#page=8","Abrir facsímil")</f>
        <v>Abrir facsímil</v>
      </c>
      <c r="K4892" s="15" t="s">
        <v>22</v>
      </c>
    </row>
    <row r="4893" spans="1:11" ht="42" customHeight="1">
      <c r="A4893" s="4" t="s">
        <v>11391</v>
      </c>
      <c r="B4893" s="5" t="s">
        <v>11392</v>
      </c>
      <c r="C4893" s="5" t="s">
        <v>49</v>
      </c>
      <c r="D4893" s="5" t="s">
        <v>50</v>
      </c>
      <c r="E4893" s="5" t="s">
        <v>350</v>
      </c>
      <c r="F4893" s="9">
        <v>112</v>
      </c>
      <c r="G4893" s="9">
        <v>1308</v>
      </c>
      <c r="H4893" s="5" t="s">
        <v>20</v>
      </c>
      <c r="I4893" s="5" t="s">
        <v>11396</v>
      </c>
      <c r="J4893" s="12" t="str">
        <f>HYPERLINK("https://www.boe.es/gazeta/dias/1807/12/18/pdfs/GMD-1807-112.pdf#page=8","Abrir facsímil")</f>
        <v>Abrir facsímil</v>
      </c>
      <c r="K4893" s="15" t="s">
        <v>22</v>
      </c>
    </row>
    <row r="4894" spans="1:11" ht="42" customHeight="1">
      <c r="A4894" s="4" t="s">
        <v>11397</v>
      </c>
      <c r="B4894" s="5" t="s">
        <v>11398</v>
      </c>
      <c r="C4894" s="5" t="s">
        <v>49</v>
      </c>
      <c r="D4894" s="5" t="s">
        <v>50</v>
      </c>
      <c r="E4894" s="5" t="s">
        <v>384</v>
      </c>
      <c r="F4894" s="9">
        <v>111</v>
      </c>
      <c r="G4894" s="9">
        <v>1296</v>
      </c>
      <c r="H4894" s="5" t="s">
        <v>20</v>
      </c>
      <c r="I4894" s="5" t="s">
        <v>11399</v>
      </c>
      <c r="J4894" s="12" t="str">
        <f>HYPERLINK("https://www.boe.es/gazeta/dias/1807/12/15/pdfs/GMD-1807-111.pdf#page=8","Abrir facsímil")</f>
        <v>Abrir facsímil</v>
      </c>
      <c r="K4894" s="15" t="s">
        <v>22</v>
      </c>
    </row>
    <row r="4895" spans="1:11" ht="42" customHeight="1">
      <c r="A4895" s="4" t="s">
        <v>11400</v>
      </c>
      <c r="B4895" s="5" t="s">
        <v>11401</v>
      </c>
      <c r="C4895" s="5" t="s">
        <v>28</v>
      </c>
      <c r="D4895" s="5" t="s">
        <v>29</v>
      </c>
      <c r="E4895" s="5" t="s">
        <v>221</v>
      </c>
      <c r="F4895" s="9">
        <v>73</v>
      </c>
      <c r="G4895" s="9">
        <v>845</v>
      </c>
      <c r="H4895" s="5" t="s">
        <v>20</v>
      </c>
      <c r="I4895" s="5" t="s">
        <v>11402</v>
      </c>
      <c r="J4895" s="12" t="str">
        <f>HYPERLINK("https://www.boe.es/gazeta/dias/1807/08/14/pdfs/GMD-1807-73.pdf#page=9","Abrir facsímil")</f>
        <v>Abrir facsímil</v>
      </c>
      <c r="K4895" s="15" t="s">
        <v>22</v>
      </c>
    </row>
    <row r="4896" spans="1:11" ht="42" customHeight="1">
      <c r="A4896" s="4" t="s">
        <v>11403</v>
      </c>
      <c r="B4896" s="5" t="s">
        <v>11404</v>
      </c>
      <c r="C4896" s="5" t="s">
        <v>34</v>
      </c>
      <c r="D4896" s="5" t="s">
        <v>35</v>
      </c>
      <c r="E4896" s="5" t="s">
        <v>19</v>
      </c>
      <c r="F4896" s="9">
        <v>41</v>
      </c>
      <c r="G4896" s="9">
        <v>490</v>
      </c>
      <c r="H4896" s="5" t="s">
        <v>20</v>
      </c>
      <c r="I4896" s="5" t="s">
        <v>11405</v>
      </c>
      <c r="J4896" s="12" t="str">
        <f>HYPERLINK("https://www.boe.es/gazeta/dias/1807/05/12/pdfs/GMD-1807-41.pdf#page=8","Abrir facsímil")</f>
        <v>Abrir facsímil</v>
      </c>
      <c r="K4896" s="15" t="s">
        <v>22</v>
      </c>
    </row>
    <row r="4897" spans="1:11" ht="42" customHeight="1">
      <c r="A4897" s="4" t="s">
        <v>11406</v>
      </c>
      <c r="B4897" s="5" t="s">
        <v>11407</v>
      </c>
      <c r="C4897" s="5" t="s">
        <v>34</v>
      </c>
      <c r="D4897" s="5" t="s">
        <v>35</v>
      </c>
      <c r="E4897" s="5" t="s">
        <v>1354</v>
      </c>
      <c r="F4897" s="9">
        <v>83</v>
      </c>
      <c r="G4897" s="9">
        <v>969</v>
      </c>
      <c r="H4897" s="5" t="s">
        <v>20</v>
      </c>
      <c r="I4897" s="5" t="s">
        <v>11408</v>
      </c>
      <c r="J4897" s="12" t="str">
        <f>HYPERLINK("https://www.boe.es/gazeta/dias/1807/09/18/pdfs/GMD-1807-83.pdf#page=9","Abrir facsímil")</f>
        <v>Abrir facsímil</v>
      </c>
      <c r="K4897" s="15" t="s">
        <v>22</v>
      </c>
    </row>
    <row r="4898" spans="1:11" ht="42" customHeight="1">
      <c r="A4898" s="4" t="s">
        <v>11409</v>
      </c>
      <c r="B4898" s="5" t="s">
        <v>11409</v>
      </c>
      <c r="C4898" s="5" t="s">
        <v>24</v>
      </c>
      <c r="D4898" s="5" t="s">
        <v>18</v>
      </c>
      <c r="E4898" s="5" t="s">
        <v>686</v>
      </c>
      <c r="F4898" s="9">
        <v>106</v>
      </c>
      <c r="G4898" s="9">
        <v>1239</v>
      </c>
      <c r="H4898" s="5" t="s">
        <v>20</v>
      </c>
      <c r="I4898" s="5" t="s">
        <v>11410</v>
      </c>
      <c r="J4898" s="12" t="str">
        <f>HYPERLINK("https://www.boe.es/gazeta/dias/1807/11/27/pdfs/GMD-1807-106.pdf#page=11","Abrir facsímil")</f>
        <v>Abrir facsímil</v>
      </c>
      <c r="K4898" s="15" t="s">
        <v>22</v>
      </c>
    </row>
    <row r="4899" spans="1:11" ht="42" customHeight="1">
      <c r="A4899" s="4" t="s">
        <v>11411</v>
      </c>
      <c r="B4899" s="5" t="s">
        <v>11412</v>
      </c>
      <c r="C4899" s="5" t="s">
        <v>252</v>
      </c>
      <c r="D4899" s="5" t="s">
        <v>253</v>
      </c>
      <c r="E4899" s="5" t="s">
        <v>314</v>
      </c>
      <c r="F4899" s="9" t="s">
        <v>315</v>
      </c>
      <c r="G4899" s="9">
        <v>1220</v>
      </c>
      <c r="H4899" s="5" t="s">
        <v>20</v>
      </c>
      <c r="I4899" s="5" t="s">
        <v>11413</v>
      </c>
      <c r="J4899" s="12" t="str">
        <f>HYPERLINK("https://www.boe.es/gazeta/dias/1807/11/26/pdfs/GMD-1807-105E.pdf#page=4","Abrir facsímil")</f>
        <v>Abrir facsímil</v>
      </c>
      <c r="K4899" s="15" t="s">
        <v>22</v>
      </c>
    </row>
    <row r="4900" spans="1:11" ht="42" customHeight="1">
      <c r="A4900" s="4" t="s">
        <v>11414</v>
      </c>
      <c r="B4900" s="5" t="s">
        <v>11415</v>
      </c>
      <c r="C4900" s="5" t="s">
        <v>34</v>
      </c>
      <c r="D4900" s="5" t="s">
        <v>35</v>
      </c>
      <c r="E4900" s="5" t="s">
        <v>94</v>
      </c>
      <c r="F4900" s="9">
        <v>22</v>
      </c>
      <c r="G4900" s="9">
        <v>255</v>
      </c>
      <c r="H4900" s="5" t="s">
        <v>20</v>
      </c>
      <c r="I4900" s="5" t="s">
        <v>11416</v>
      </c>
      <c r="J4900" s="12" t="str">
        <f>HYPERLINK("https://www.boe.es/gazeta/dias/1807/03/06/pdfs/GMD-1807-22.pdf#page=7","Abrir facsímil")</f>
        <v>Abrir facsímil</v>
      </c>
      <c r="K4900" s="15" t="s">
        <v>22</v>
      </c>
    </row>
    <row r="4901" spans="1:11" ht="42" customHeight="1">
      <c r="A4901" s="4" t="s">
        <v>11417</v>
      </c>
      <c r="B4901" s="5" t="s">
        <v>11418</v>
      </c>
      <c r="C4901" s="5" t="s">
        <v>34</v>
      </c>
      <c r="D4901" s="5" t="s">
        <v>35</v>
      </c>
      <c r="E4901" s="5" t="s">
        <v>444</v>
      </c>
      <c r="F4901" s="9">
        <v>95</v>
      </c>
      <c r="G4901" s="9">
        <v>1106</v>
      </c>
      <c r="H4901" s="5" t="s">
        <v>20</v>
      </c>
      <c r="I4901" s="5" t="s">
        <v>11419</v>
      </c>
      <c r="J4901" s="12" t="str">
        <f>HYPERLINK("https://www.boe.es/gazeta/dias/1807/10/23/pdfs/GMD-1807-95.pdf#page=10","Abrir facsímil")</f>
        <v>Abrir facsímil</v>
      </c>
      <c r="K4901" s="15" t="s">
        <v>22</v>
      </c>
    </row>
    <row r="4902" spans="1:11" ht="42" customHeight="1">
      <c r="A4902" s="4" t="s">
        <v>11420</v>
      </c>
      <c r="B4902" s="5" t="s">
        <v>11421</v>
      </c>
      <c r="C4902" s="5" t="s">
        <v>34</v>
      </c>
      <c r="D4902" s="5" t="s">
        <v>35</v>
      </c>
      <c r="E4902" s="5" t="s">
        <v>461</v>
      </c>
      <c r="F4902" s="9">
        <v>99</v>
      </c>
      <c r="G4902" s="9">
        <v>1153</v>
      </c>
      <c r="H4902" s="5" t="s">
        <v>20</v>
      </c>
      <c r="I4902" s="5" t="s">
        <v>11422</v>
      </c>
      <c r="J4902" s="12" t="str">
        <f>HYPERLINK("https://www.boe.es/gazeta/dias/1807/11/06/pdfs/GMD-1807-99.pdf#page=9","Abrir facsímil")</f>
        <v>Abrir facsímil</v>
      </c>
      <c r="K4902" s="15" t="s">
        <v>22</v>
      </c>
    </row>
    <row r="4903" spans="1:11" ht="42" customHeight="1">
      <c r="A4903" s="4" t="s">
        <v>11423</v>
      </c>
      <c r="B4903" s="5" t="s">
        <v>11423</v>
      </c>
      <c r="C4903" s="5" t="s">
        <v>49</v>
      </c>
      <c r="D4903" s="5" t="s">
        <v>50</v>
      </c>
      <c r="E4903" s="5" t="s">
        <v>1177</v>
      </c>
      <c r="F4903" s="9">
        <v>101</v>
      </c>
      <c r="G4903" s="9">
        <v>1177</v>
      </c>
      <c r="H4903" s="5" t="s">
        <v>20</v>
      </c>
      <c r="I4903" s="5" t="s">
        <v>11424</v>
      </c>
      <c r="J4903" s="12" t="str">
        <f>HYPERLINK("https://www.boe.es/gazeta/dias/1807/11/13/pdfs/GMD-1807-101.pdf#page=9","Abrir facsímil")</f>
        <v>Abrir facsímil</v>
      </c>
      <c r="K4903" s="15" t="s">
        <v>22</v>
      </c>
    </row>
    <row r="4904" spans="1:11" ht="42" customHeight="1">
      <c r="A4904" s="4" t="s">
        <v>11425</v>
      </c>
      <c r="B4904" s="5" t="s">
        <v>11426</v>
      </c>
      <c r="C4904" s="5" t="s">
        <v>49</v>
      </c>
      <c r="D4904" s="5" t="s">
        <v>50</v>
      </c>
      <c r="E4904" s="5" t="s">
        <v>167</v>
      </c>
      <c r="F4904" s="9">
        <v>77</v>
      </c>
      <c r="G4904" s="9">
        <v>886</v>
      </c>
      <c r="H4904" s="5" t="s">
        <v>20</v>
      </c>
      <c r="I4904" s="5" t="s">
        <v>11427</v>
      </c>
      <c r="J4904" s="12" t="str">
        <f>HYPERLINK("https://www.boe.es/gazeta/dias/1807/08/28/pdfs/GMD-1807-77.pdf#page=2","Abrir facsímil")</f>
        <v>Abrir facsímil</v>
      </c>
      <c r="K4904" s="15" t="s">
        <v>22</v>
      </c>
    </row>
    <row r="4905" spans="1:11" ht="42" customHeight="1">
      <c r="A4905" s="4" t="s">
        <v>11428</v>
      </c>
      <c r="B4905" s="5" t="s">
        <v>11428</v>
      </c>
      <c r="C4905" s="5" t="s">
        <v>34</v>
      </c>
      <c r="D4905" s="5" t="s">
        <v>35</v>
      </c>
      <c r="E4905" s="5" t="s">
        <v>422</v>
      </c>
      <c r="F4905" s="9">
        <v>33</v>
      </c>
      <c r="G4905" s="9">
        <v>387</v>
      </c>
      <c r="H4905" s="5" t="s">
        <v>20</v>
      </c>
      <c r="I4905" s="5" t="s">
        <v>11429</v>
      </c>
      <c r="J4905" s="12" t="str">
        <f>HYPERLINK("https://www.boe.es/gazeta/dias/1807/04/14/pdfs/GMD-1807-33.pdf#page=3","Abrir facsímil")</f>
        <v>Abrir facsímil</v>
      </c>
      <c r="K4905" s="15" t="s">
        <v>22</v>
      </c>
    </row>
    <row r="4906" spans="1:11" ht="42" customHeight="1">
      <c r="A4906" s="4" t="s">
        <v>11430</v>
      </c>
      <c r="B4906" s="5" t="s">
        <v>11430</v>
      </c>
      <c r="C4906" s="5" t="s">
        <v>49</v>
      </c>
      <c r="D4906" s="5" t="s">
        <v>50</v>
      </c>
      <c r="E4906" s="5" t="s">
        <v>221</v>
      </c>
      <c r="F4906" s="9">
        <v>73</v>
      </c>
      <c r="G4906" s="9">
        <v>838</v>
      </c>
      <c r="H4906" s="5" t="s">
        <v>20</v>
      </c>
      <c r="I4906" s="5" t="s">
        <v>11431</v>
      </c>
      <c r="J4906" s="12" t="str">
        <f>HYPERLINK("https://www.boe.es/gazeta/dias/1807/08/14/pdfs/GMD-1807-73.pdf#page=2","Abrir facsímil")</f>
        <v>Abrir facsímil</v>
      </c>
      <c r="K4906" s="15" t="s">
        <v>22</v>
      </c>
    </row>
    <row r="4907" spans="1:11" ht="42" customHeight="1">
      <c r="A4907" s="4" t="s">
        <v>11430</v>
      </c>
      <c r="B4907" s="5" t="s">
        <v>11430</v>
      </c>
      <c r="C4907" s="5" t="s">
        <v>49</v>
      </c>
      <c r="D4907" s="5" t="s">
        <v>50</v>
      </c>
      <c r="E4907" s="5" t="s">
        <v>221</v>
      </c>
      <c r="F4907" s="9">
        <v>73</v>
      </c>
      <c r="G4907" s="9">
        <v>840</v>
      </c>
      <c r="H4907" s="5" t="s">
        <v>20</v>
      </c>
      <c r="I4907" s="5" t="s">
        <v>11432</v>
      </c>
      <c r="J4907" s="12" t="str">
        <f>HYPERLINK("https://www.boe.es/gazeta/dias/1807/08/14/pdfs/GMD-1807-73.pdf#page=4","Abrir facsímil")</f>
        <v>Abrir facsímil</v>
      </c>
      <c r="K4907" s="15" t="s">
        <v>22</v>
      </c>
    </row>
    <row r="4908" spans="1:11" ht="42" customHeight="1">
      <c r="A4908" s="4" t="s">
        <v>11433</v>
      </c>
      <c r="B4908" s="5" t="s">
        <v>11433</v>
      </c>
      <c r="C4908" s="5" t="s">
        <v>49</v>
      </c>
      <c r="D4908" s="5" t="s">
        <v>50</v>
      </c>
      <c r="E4908" s="5" t="s">
        <v>40</v>
      </c>
      <c r="F4908" s="9">
        <v>26</v>
      </c>
      <c r="G4908" s="9">
        <v>306</v>
      </c>
      <c r="H4908" s="5" t="s">
        <v>20</v>
      </c>
      <c r="I4908" s="5" t="s">
        <v>11434</v>
      </c>
      <c r="J4908" s="12" t="str">
        <f>HYPERLINK("https://www.boe.es/gazeta/dias/1807/03/20/pdfs/GMD-1807-26.pdf#page=2","Abrir facsímil")</f>
        <v>Abrir facsímil</v>
      </c>
      <c r="K4908" s="15" t="s">
        <v>22</v>
      </c>
    </row>
    <row r="4909" spans="1:11" ht="42" customHeight="1">
      <c r="A4909" s="4" t="s">
        <v>11435</v>
      </c>
      <c r="B4909" s="5" t="s">
        <v>11435</v>
      </c>
      <c r="C4909" s="5" t="s">
        <v>34</v>
      </c>
      <c r="D4909" s="5" t="s">
        <v>35</v>
      </c>
      <c r="E4909" s="5" t="s">
        <v>91</v>
      </c>
      <c r="F4909" s="9">
        <v>109</v>
      </c>
      <c r="G4909" s="9">
        <v>1271</v>
      </c>
      <c r="H4909" s="5" t="s">
        <v>20</v>
      </c>
      <c r="I4909" s="5" t="s">
        <v>11436</v>
      </c>
      <c r="J4909" s="12" t="str">
        <f>HYPERLINK("https://www.boe.es/gazeta/dias/1807/12/08/pdfs/GMD-1807-109.pdf#page=7","Abrir facsímil")</f>
        <v>Abrir facsímil</v>
      </c>
      <c r="K4909" s="15" t="s">
        <v>22</v>
      </c>
    </row>
    <row r="4910" spans="1:11" ht="42" customHeight="1">
      <c r="A4910" s="4" t="s">
        <v>11437</v>
      </c>
      <c r="B4910" s="5" t="s">
        <v>11438</v>
      </c>
      <c r="C4910" s="5" t="s">
        <v>24</v>
      </c>
      <c r="D4910" s="5" t="s">
        <v>18</v>
      </c>
      <c r="E4910" s="5" t="s">
        <v>266</v>
      </c>
      <c r="F4910" s="9">
        <v>67</v>
      </c>
      <c r="G4910" s="9">
        <v>766</v>
      </c>
      <c r="H4910" s="5" t="s">
        <v>20</v>
      </c>
      <c r="I4910" s="5" t="s">
        <v>11439</v>
      </c>
      <c r="J4910" s="12" t="str">
        <f>HYPERLINK("https://www.boe.es/gazeta/dias/1807/07/28/pdfs/GMD-1807-67.pdf#page=2","Abrir facsímil")</f>
        <v>Abrir facsímil</v>
      </c>
      <c r="K4910" s="15" t="s">
        <v>22</v>
      </c>
    </row>
    <row r="4911" spans="1:11" ht="42" customHeight="1">
      <c r="A4911" s="4" t="s">
        <v>11440</v>
      </c>
      <c r="B4911" s="5" t="s">
        <v>11440</v>
      </c>
      <c r="C4911" s="5" t="s">
        <v>49</v>
      </c>
      <c r="D4911" s="5" t="s">
        <v>50</v>
      </c>
      <c r="E4911" s="5" t="s">
        <v>167</v>
      </c>
      <c r="F4911" s="9">
        <v>77</v>
      </c>
      <c r="G4911" s="9">
        <v>888</v>
      </c>
      <c r="H4911" s="5" t="s">
        <v>20</v>
      </c>
      <c r="I4911" s="5" t="s">
        <v>11441</v>
      </c>
      <c r="J4911" s="12" t="str">
        <f>HYPERLINK("https://www.boe.es/gazeta/dias/1807/08/28/pdfs/GMD-1807-77.pdf#page=4","Abrir facsímil")</f>
        <v>Abrir facsímil</v>
      </c>
      <c r="K4911" s="15" t="s">
        <v>22</v>
      </c>
    </row>
    <row r="4912" spans="1:11" ht="42" customHeight="1">
      <c r="A4912" s="4" t="s">
        <v>11442</v>
      </c>
      <c r="B4912" s="5" t="s">
        <v>11442</v>
      </c>
      <c r="C4912" s="5" t="s">
        <v>49</v>
      </c>
      <c r="D4912" s="5" t="s">
        <v>50</v>
      </c>
      <c r="E4912" s="5" t="s">
        <v>478</v>
      </c>
      <c r="F4912" s="9">
        <v>30</v>
      </c>
      <c r="G4912" s="9">
        <v>355</v>
      </c>
      <c r="H4912" s="5" t="s">
        <v>20</v>
      </c>
      <c r="I4912" s="5" t="s">
        <v>11443</v>
      </c>
      <c r="J4912" s="12" t="str">
        <f>HYPERLINK("https://www.boe.es/gazeta/dias/1807/04/03/pdfs/GMD-1807-30.pdf#page=7","Abrir facsímil")</f>
        <v>Abrir facsímil</v>
      </c>
      <c r="K4912" s="15" t="s">
        <v>22</v>
      </c>
    </row>
    <row r="4913" spans="1:11" ht="42" customHeight="1">
      <c r="A4913" s="4" t="s">
        <v>11444</v>
      </c>
      <c r="B4913" s="5" t="s">
        <v>11444</v>
      </c>
      <c r="C4913" s="5" t="s">
        <v>49</v>
      </c>
      <c r="D4913" s="5" t="s">
        <v>50</v>
      </c>
      <c r="E4913" s="5" t="s">
        <v>149</v>
      </c>
      <c r="F4913" s="9">
        <v>38</v>
      </c>
      <c r="G4913" s="9">
        <v>448</v>
      </c>
      <c r="H4913" s="5" t="s">
        <v>20</v>
      </c>
      <c r="I4913" s="5" t="s">
        <v>11445</v>
      </c>
      <c r="J4913" s="12" t="str">
        <f>HYPERLINK("https://www.boe.es/gazeta/dias/1807/05/01/pdfs/GMD-1807-38.pdf#page=4","Abrir facsímil")</f>
        <v>Abrir facsímil</v>
      </c>
      <c r="K4913" s="15" t="s">
        <v>22</v>
      </c>
    </row>
    <row r="4914" spans="1:11" ht="42" customHeight="1">
      <c r="A4914" s="4" t="s">
        <v>11444</v>
      </c>
      <c r="B4914" s="5" t="s">
        <v>11444</v>
      </c>
      <c r="C4914" s="5" t="s">
        <v>49</v>
      </c>
      <c r="D4914" s="5" t="s">
        <v>50</v>
      </c>
      <c r="E4914" s="5" t="s">
        <v>167</v>
      </c>
      <c r="F4914" s="9">
        <v>77</v>
      </c>
      <c r="G4914" s="9">
        <v>888</v>
      </c>
      <c r="H4914" s="5" t="s">
        <v>20</v>
      </c>
      <c r="I4914" s="5" t="s">
        <v>11446</v>
      </c>
      <c r="J4914" s="12" t="str">
        <f>HYPERLINK("https://www.boe.es/gazeta/dias/1807/08/28/pdfs/GMD-1807-77.pdf#page=4","Abrir facsímil")</f>
        <v>Abrir facsímil</v>
      </c>
      <c r="K4914" s="15" t="s">
        <v>22</v>
      </c>
    </row>
    <row r="4915" spans="1:11" ht="42" customHeight="1">
      <c r="A4915" s="4" t="s">
        <v>11444</v>
      </c>
      <c r="B4915" s="5" t="s">
        <v>11444</v>
      </c>
      <c r="C4915" s="5" t="s">
        <v>34</v>
      </c>
      <c r="D4915" s="5" t="s">
        <v>35</v>
      </c>
      <c r="E4915" s="5" t="s">
        <v>167</v>
      </c>
      <c r="F4915" s="9">
        <v>77</v>
      </c>
      <c r="G4915" s="9">
        <v>889</v>
      </c>
      <c r="H4915" s="5" t="s">
        <v>20</v>
      </c>
      <c r="I4915" s="5" t="s">
        <v>11447</v>
      </c>
      <c r="J4915" s="12" t="str">
        <f>HYPERLINK("https://www.boe.es/gazeta/dias/1807/08/28/pdfs/GMD-1807-77.pdf#page=5","Abrir facsímil")</f>
        <v>Abrir facsímil</v>
      </c>
      <c r="K4915" s="15" t="s">
        <v>22</v>
      </c>
    </row>
    <row r="4916" spans="1:11" ht="42" customHeight="1">
      <c r="A4916" s="4" t="s">
        <v>11448</v>
      </c>
      <c r="B4916" s="5" t="s">
        <v>11449</v>
      </c>
      <c r="C4916" s="5" t="s">
        <v>34</v>
      </c>
      <c r="D4916" s="5" t="s">
        <v>35</v>
      </c>
      <c r="E4916" s="5" t="s">
        <v>4786</v>
      </c>
      <c r="F4916" s="9" t="s">
        <v>4787</v>
      </c>
      <c r="G4916" s="9">
        <v>1017</v>
      </c>
      <c r="H4916" s="5" t="s">
        <v>20</v>
      </c>
      <c r="I4916" s="5" t="s">
        <v>11450</v>
      </c>
      <c r="J4916" s="12" t="str">
        <f>HYPERLINK("https://www.boe.es/gazeta/dias/1807/09/30/pdfs/GMD-1807-88E.pdf#page=5","Abrir facsímil")</f>
        <v>Abrir facsímil</v>
      </c>
      <c r="K4916" s="15" t="s">
        <v>22</v>
      </c>
    </row>
    <row r="4917" spans="1:11" ht="42" customHeight="1">
      <c r="A4917" s="4" t="s">
        <v>11448</v>
      </c>
      <c r="B4917" s="5" t="s">
        <v>11449</v>
      </c>
      <c r="C4917" s="5" t="s">
        <v>34</v>
      </c>
      <c r="D4917" s="5" t="s">
        <v>35</v>
      </c>
      <c r="E4917" s="5" t="s">
        <v>4786</v>
      </c>
      <c r="F4917" s="9" t="s">
        <v>4787</v>
      </c>
      <c r="G4917" s="9">
        <v>1018</v>
      </c>
      <c r="H4917" s="5" t="s">
        <v>20</v>
      </c>
      <c r="I4917" s="5" t="s">
        <v>11451</v>
      </c>
      <c r="J4917" s="12" t="str">
        <f>HYPERLINK("https://www.boe.es/gazeta/dias/1807/09/30/pdfs/GMD-1807-88E.pdf#page=6","Abrir facsímil")</f>
        <v>Abrir facsímil</v>
      </c>
      <c r="K4917" s="15" t="s">
        <v>22</v>
      </c>
    </row>
    <row r="4918" spans="1:11" ht="42" customHeight="1">
      <c r="A4918" s="4" t="s">
        <v>11452</v>
      </c>
      <c r="B4918" s="5" t="s">
        <v>11452</v>
      </c>
      <c r="C4918" s="5" t="s">
        <v>49</v>
      </c>
      <c r="D4918" s="5" t="s">
        <v>50</v>
      </c>
      <c r="E4918" s="5" t="s">
        <v>530</v>
      </c>
      <c r="F4918" s="9">
        <v>79</v>
      </c>
      <c r="G4918" s="9">
        <v>915</v>
      </c>
      <c r="H4918" s="5" t="s">
        <v>20</v>
      </c>
      <c r="I4918" s="5" t="s">
        <v>11453</v>
      </c>
      <c r="J4918" s="12" t="str">
        <f>HYPERLINK("https://www.boe.es/gazeta/dias/1807/09/04/pdfs/GMD-1807-79.pdf#page=7","Abrir facsímil")</f>
        <v>Abrir facsímil</v>
      </c>
      <c r="K4918" s="15" t="s">
        <v>22</v>
      </c>
    </row>
    <row r="4919" spans="1:11" ht="42" customHeight="1">
      <c r="A4919" s="4" t="s">
        <v>11454</v>
      </c>
      <c r="B4919" s="5" t="s">
        <v>11455</v>
      </c>
      <c r="C4919" s="5" t="s">
        <v>34</v>
      </c>
      <c r="D4919" s="5" t="s">
        <v>35</v>
      </c>
      <c r="E4919" s="5" t="s">
        <v>754</v>
      </c>
      <c r="F4919" s="9">
        <v>103</v>
      </c>
      <c r="G4919" s="9">
        <v>1196</v>
      </c>
      <c r="H4919" s="5" t="s">
        <v>20</v>
      </c>
      <c r="I4919" s="5" t="s">
        <v>11456</v>
      </c>
      <c r="J4919" s="12" t="str">
        <f>HYPERLINK("https://www.boe.es/gazeta/dias/1807/11/20/pdfs/GMD-1807-103.pdf#page=4","Abrir facsímil")</f>
        <v>Abrir facsímil</v>
      </c>
      <c r="K4919" s="15" t="s">
        <v>22</v>
      </c>
    </row>
    <row r="4920" spans="1:11" ht="42" customHeight="1">
      <c r="A4920" s="4" t="s">
        <v>11454</v>
      </c>
      <c r="B4920" s="5" t="s">
        <v>11455</v>
      </c>
      <c r="C4920" s="5" t="s">
        <v>28</v>
      </c>
      <c r="D4920" s="5" t="s">
        <v>29</v>
      </c>
      <c r="E4920" s="5" t="s">
        <v>139</v>
      </c>
      <c r="F4920" s="9">
        <v>110</v>
      </c>
      <c r="G4920" s="9">
        <v>1282</v>
      </c>
      <c r="H4920" s="5" t="s">
        <v>20</v>
      </c>
      <c r="I4920" s="5" t="s">
        <v>11457</v>
      </c>
      <c r="J4920" s="12" t="str">
        <f>HYPERLINK("https://www.boe.es/gazeta/dias/1807/12/11/pdfs/GMD-1807-110.pdf#page=6","Abrir facsímil")</f>
        <v>Abrir facsímil</v>
      </c>
      <c r="K4920" s="15" t="s">
        <v>22</v>
      </c>
    </row>
    <row r="4921" spans="1:11" ht="42" customHeight="1">
      <c r="A4921" s="4" t="s">
        <v>11458</v>
      </c>
      <c r="B4921" s="5" t="s">
        <v>11458</v>
      </c>
      <c r="C4921" s="5" t="s">
        <v>28</v>
      </c>
      <c r="D4921" s="5" t="s">
        <v>29</v>
      </c>
      <c r="E4921" s="5" t="s">
        <v>498</v>
      </c>
      <c r="F4921" s="9">
        <v>32</v>
      </c>
      <c r="G4921" s="9">
        <v>381</v>
      </c>
      <c r="H4921" s="5" t="s">
        <v>20</v>
      </c>
      <c r="I4921" s="5" t="s">
        <v>11459</v>
      </c>
      <c r="J4921" s="12" t="str">
        <f>HYPERLINK("https://www.boe.es/gazeta/dias/1807/04/10/pdfs/GMD-1807-32.pdf#page=9","Abrir facsímil")</f>
        <v>Abrir facsímil</v>
      </c>
      <c r="K4921" s="15" t="s">
        <v>22</v>
      </c>
    </row>
    <row r="4922" spans="1:11" ht="42" customHeight="1">
      <c r="A4922" s="4" t="s">
        <v>11460</v>
      </c>
      <c r="B4922" s="5" t="s">
        <v>11460</v>
      </c>
      <c r="C4922" s="5" t="s">
        <v>49</v>
      </c>
      <c r="D4922" s="5" t="s">
        <v>50</v>
      </c>
      <c r="E4922" s="5" t="s">
        <v>241</v>
      </c>
      <c r="F4922" s="9">
        <v>76</v>
      </c>
      <c r="G4922" s="9">
        <v>877</v>
      </c>
      <c r="H4922" s="5" t="s">
        <v>20</v>
      </c>
      <c r="I4922" s="5" t="s">
        <v>11461</v>
      </c>
      <c r="J4922" s="12" t="str">
        <f>HYPERLINK("https://www.boe.es/gazeta/dias/1807/08/25/pdfs/GMD-1807-76.pdf#page=5","Abrir facsímil")</f>
        <v>Abrir facsímil</v>
      </c>
      <c r="K4922" s="15" t="s">
        <v>22</v>
      </c>
    </row>
    <row r="4923" spans="1:11" ht="42" customHeight="1">
      <c r="A4923" s="4" t="s">
        <v>11462</v>
      </c>
      <c r="B4923" s="5" t="s">
        <v>11462</v>
      </c>
      <c r="C4923" s="5" t="s">
        <v>34</v>
      </c>
      <c r="D4923" s="5" t="s">
        <v>35</v>
      </c>
      <c r="E4923" s="5" t="s">
        <v>104</v>
      </c>
      <c r="F4923" s="9">
        <v>25</v>
      </c>
      <c r="G4923" s="9">
        <v>298</v>
      </c>
      <c r="H4923" s="5" t="s">
        <v>20</v>
      </c>
      <c r="I4923" s="5" t="s">
        <v>11463</v>
      </c>
      <c r="J4923" s="12" t="str">
        <f>HYPERLINK("https://www.boe.es/gazeta/dias/1807/03/17/pdfs/GMD-1807-25.pdf#page=6","Abrir facsímil")</f>
        <v>Abrir facsímil</v>
      </c>
      <c r="K4923" s="15" t="s">
        <v>22</v>
      </c>
    </row>
    <row r="4924" spans="1:11" ht="42" customHeight="1">
      <c r="A4924" s="4" t="s">
        <v>11462</v>
      </c>
      <c r="B4924" s="5" t="s">
        <v>11462</v>
      </c>
      <c r="C4924" s="5" t="s">
        <v>89</v>
      </c>
      <c r="D4924" s="5" t="s">
        <v>90</v>
      </c>
      <c r="E4924" s="5" t="s">
        <v>478</v>
      </c>
      <c r="F4924" s="9">
        <v>30</v>
      </c>
      <c r="G4924" s="9">
        <v>355</v>
      </c>
      <c r="H4924" s="5" t="s">
        <v>20</v>
      </c>
      <c r="I4924" s="5" t="s">
        <v>11464</v>
      </c>
      <c r="J4924" s="12" t="str">
        <f>HYPERLINK("https://www.boe.es/gazeta/dias/1807/04/03/pdfs/GMD-1807-30.pdf#page=7","Abrir facsímil")</f>
        <v>Abrir facsímil</v>
      </c>
      <c r="K4924" s="15" t="s">
        <v>22</v>
      </c>
    </row>
    <row r="4925" spans="1:11" ht="42" customHeight="1">
      <c r="A4925" s="4" t="s">
        <v>11462</v>
      </c>
      <c r="B4925" s="5" t="s">
        <v>11462</v>
      </c>
      <c r="C4925" s="5" t="s">
        <v>24</v>
      </c>
      <c r="D4925" s="5" t="s">
        <v>18</v>
      </c>
      <c r="E4925" s="5" t="s">
        <v>123</v>
      </c>
      <c r="F4925" s="9">
        <v>70</v>
      </c>
      <c r="G4925" s="9">
        <v>802</v>
      </c>
      <c r="H4925" s="5" t="s">
        <v>20</v>
      </c>
      <c r="I4925" s="5" t="s">
        <v>11465</v>
      </c>
      <c r="J4925" s="12" t="str">
        <f>HYPERLINK("https://www.boe.es/gazeta/dias/1807/08/04/pdfs/GMD-1807-70.pdf#page=6","Abrir facsímil")</f>
        <v>Abrir facsímil</v>
      </c>
      <c r="K4925" s="15" t="s">
        <v>22</v>
      </c>
    </row>
    <row r="4926" spans="1:11" ht="42" customHeight="1">
      <c r="A4926" s="4" t="s">
        <v>11462</v>
      </c>
      <c r="B4926" s="5" t="s">
        <v>11462</v>
      </c>
      <c r="C4926" s="5" t="s">
        <v>49</v>
      </c>
      <c r="D4926" s="5" t="s">
        <v>50</v>
      </c>
      <c r="E4926" s="5" t="s">
        <v>530</v>
      </c>
      <c r="F4926" s="9">
        <v>79</v>
      </c>
      <c r="G4926" s="9">
        <v>914</v>
      </c>
      <c r="H4926" s="5" t="s">
        <v>20</v>
      </c>
      <c r="I4926" s="5" t="s">
        <v>11466</v>
      </c>
      <c r="J4926" s="12" t="str">
        <f>HYPERLINK("https://www.boe.es/gazeta/dias/1807/09/04/pdfs/GMD-1807-79.pdf#page=6","Abrir facsímil")</f>
        <v>Abrir facsímil</v>
      </c>
      <c r="K4926" s="15" t="s">
        <v>22</v>
      </c>
    </row>
    <row r="4927" spans="1:11" ht="42" customHeight="1">
      <c r="A4927" s="4" t="s">
        <v>11467</v>
      </c>
      <c r="B4927" s="5" t="s">
        <v>11468</v>
      </c>
      <c r="C4927" s="5" t="s">
        <v>24</v>
      </c>
      <c r="D4927" s="5" t="s">
        <v>18</v>
      </c>
      <c r="E4927" s="5" t="s">
        <v>86</v>
      </c>
      <c r="F4927" s="9">
        <v>12</v>
      </c>
      <c r="G4927" s="9">
        <v>130</v>
      </c>
      <c r="H4927" s="5" t="s">
        <v>20</v>
      </c>
      <c r="I4927" s="5" t="s">
        <v>11469</v>
      </c>
      <c r="J4927" s="12" t="str">
        <f>HYPERLINK("https://www.boe.es/gazeta/dias/1807/02/03/pdfs/GMD-1807-12.pdf#page=2","Abrir facsímil")</f>
        <v>Abrir facsímil</v>
      </c>
      <c r="K4927" s="15" t="s">
        <v>22</v>
      </c>
    </row>
    <row r="4928" spans="1:11" ht="42" customHeight="1">
      <c r="A4928" s="4" t="s">
        <v>11470</v>
      </c>
      <c r="B4928" s="5" t="s">
        <v>11470</v>
      </c>
      <c r="C4928" s="5" t="s">
        <v>49</v>
      </c>
      <c r="D4928" s="5" t="s">
        <v>50</v>
      </c>
      <c r="E4928" s="5" t="s">
        <v>40</v>
      </c>
      <c r="F4928" s="9">
        <v>26</v>
      </c>
      <c r="G4928" s="9">
        <v>306</v>
      </c>
      <c r="H4928" s="5" t="s">
        <v>20</v>
      </c>
      <c r="I4928" s="5" t="s">
        <v>11471</v>
      </c>
      <c r="J4928" s="12" t="str">
        <f>HYPERLINK("https://www.boe.es/gazeta/dias/1807/03/20/pdfs/GMD-1807-26.pdf#page=2","Abrir facsímil")</f>
        <v>Abrir facsímil</v>
      </c>
      <c r="K4928" s="15" t="s">
        <v>22</v>
      </c>
    </row>
    <row r="4929" spans="1:11" ht="42" customHeight="1">
      <c r="A4929" s="4" t="s">
        <v>11472</v>
      </c>
      <c r="B4929" s="5" t="s">
        <v>11472</v>
      </c>
      <c r="C4929" s="5" t="s">
        <v>49</v>
      </c>
      <c r="D4929" s="5" t="s">
        <v>50</v>
      </c>
      <c r="E4929" s="5" t="s">
        <v>464</v>
      </c>
      <c r="F4929" s="9">
        <v>18</v>
      </c>
      <c r="G4929" s="9">
        <v>207</v>
      </c>
      <c r="H4929" s="5" t="s">
        <v>20</v>
      </c>
      <c r="I4929" s="5" t="s">
        <v>11473</v>
      </c>
      <c r="J4929" s="12" t="str">
        <f>HYPERLINK("https://www.boe.es/gazeta/dias/1807/02/24/pdfs/GMD-1807-18.pdf#page=7","Abrir facsímil")</f>
        <v>Abrir facsímil</v>
      </c>
      <c r="K4929" s="15" t="s">
        <v>22</v>
      </c>
    </row>
    <row r="4930" spans="1:11" ht="42" customHeight="1">
      <c r="A4930" s="4" t="s">
        <v>11472</v>
      </c>
      <c r="B4930" s="5" t="s">
        <v>11472</v>
      </c>
      <c r="C4930" s="5" t="s">
        <v>49</v>
      </c>
      <c r="D4930" s="5" t="s">
        <v>50</v>
      </c>
      <c r="E4930" s="5" t="s">
        <v>40</v>
      </c>
      <c r="F4930" s="9">
        <v>26</v>
      </c>
      <c r="G4930" s="9">
        <v>305</v>
      </c>
      <c r="H4930" s="5" t="s">
        <v>20</v>
      </c>
      <c r="I4930" s="5" t="s">
        <v>11474</v>
      </c>
      <c r="J4930" s="12" t="str">
        <f>HYPERLINK("https://www.boe.es/gazeta/dias/1807/03/20/pdfs/GMD-1807-26.pdf#page=1","Abrir facsímil")</f>
        <v>Abrir facsímil</v>
      </c>
      <c r="K4930" s="15" t="s">
        <v>22</v>
      </c>
    </row>
    <row r="4931" spans="1:11" ht="42" customHeight="1">
      <c r="A4931" s="4" t="s">
        <v>11472</v>
      </c>
      <c r="B4931" s="5" t="s">
        <v>11472</v>
      </c>
      <c r="C4931" s="5" t="s">
        <v>49</v>
      </c>
      <c r="D4931" s="5" t="s">
        <v>50</v>
      </c>
      <c r="E4931" s="5" t="s">
        <v>478</v>
      </c>
      <c r="F4931" s="9">
        <v>30</v>
      </c>
      <c r="G4931" s="9">
        <v>355</v>
      </c>
      <c r="H4931" s="5" t="s">
        <v>20</v>
      </c>
      <c r="I4931" s="5" t="s">
        <v>11475</v>
      </c>
      <c r="J4931" s="12" t="str">
        <f>HYPERLINK("https://www.boe.es/gazeta/dias/1807/04/03/pdfs/GMD-1807-30.pdf#page=7","Abrir facsímil")</f>
        <v>Abrir facsímil</v>
      </c>
      <c r="K4931" s="15" t="s">
        <v>22</v>
      </c>
    </row>
    <row r="4932" spans="1:11" ht="42" customHeight="1">
      <c r="A4932" s="4" t="s">
        <v>11472</v>
      </c>
      <c r="B4932" s="5" t="s">
        <v>11472</v>
      </c>
      <c r="C4932" s="5" t="s">
        <v>49</v>
      </c>
      <c r="D4932" s="5" t="s">
        <v>50</v>
      </c>
      <c r="E4932" s="5" t="s">
        <v>62</v>
      </c>
      <c r="F4932" s="9">
        <v>68</v>
      </c>
      <c r="G4932" s="9">
        <v>779</v>
      </c>
      <c r="H4932" s="5" t="s">
        <v>20</v>
      </c>
      <c r="I4932" s="5" t="s">
        <v>11476</v>
      </c>
      <c r="J4932" s="12" t="str">
        <f>HYPERLINK("https://www.boe.es/gazeta/dias/1807/07/31/pdfs/GMD-1807-68.pdf#page=3","Abrir facsímil")</f>
        <v>Abrir facsímil</v>
      </c>
      <c r="K4932" s="15" t="s">
        <v>22</v>
      </c>
    </row>
    <row r="4933" spans="1:11" ht="42" customHeight="1">
      <c r="A4933" s="4" t="s">
        <v>11472</v>
      </c>
      <c r="B4933" s="5" t="s">
        <v>11472</v>
      </c>
      <c r="C4933" s="5" t="s">
        <v>49</v>
      </c>
      <c r="D4933" s="5" t="s">
        <v>50</v>
      </c>
      <c r="E4933" s="5" t="s">
        <v>221</v>
      </c>
      <c r="F4933" s="9">
        <v>73</v>
      </c>
      <c r="G4933" s="9">
        <v>840</v>
      </c>
      <c r="H4933" s="5" t="s">
        <v>20</v>
      </c>
      <c r="I4933" s="5" t="s">
        <v>11477</v>
      </c>
      <c r="J4933" s="12" t="str">
        <f>HYPERLINK("https://www.boe.es/gazeta/dias/1807/08/14/pdfs/GMD-1807-73.pdf#page=4","Abrir facsímil")</f>
        <v>Abrir facsímil</v>
      </c>
      <c r="K4933" s="15" t="s">
        <v>22</v>
      </c>
    </row>
    <row r="4934" spans="1:11" ht="42" customHeight="1">
      <c r="A4934" s="4" t="s">
        <v>11472</v>
      </c>
      <c r="B4934" s="5" t="s">
        <v>11472</v>
      </c>
      <c r="C4934" s="5" t="s">
        <v>49</v>
      </c>
      <c r="D4934" s="5" t="s">
        <v>50</v>
      </c>
      <c r="E4934" s="5" t="s">
        <v>221</v>
      </c>
      <c r="F4934" s="9">
        <v>73</v>
      </c>
      <c r="G4934" s="9">
        <v>841</v>
      </c>
      <c r="H4934" s="5" t="s">
        <v>20</v>
      </c>
      <c r="I4934" s="5" t="s">
        <v>11478</v>
      </c>
      <c r="J4934" s="12" t="str">
        <f>HYPERLINK("https://www.boe.es/gazeta/dias/1807/08/14/pdfs/GMD-1807-73.pdf#page=5","Abrir facsímil")</f>
        <v>Abrir facsímil</v>
      </c>
      <c r="K4934" s="15" t="s">
        <v>22</v>
      </c>
    </row>
    <row r="4935" spans="1:11" ht="42" customHeight="1">
      <c r="A4935" s="4" t="s">
        <v>11472</v>
      </c>
      <c r="B4935" s="5" t="s">
        <v>11472</v>
      </c>
      <c r="C4935" s="5" t="s">
        <v>89</v>
      </c>
      <c r="D4935" s="5" t="s">
        <v>90</v>
      </c>
      <c r="E4935" s="5" t="s">
        <v>241</v>
      </c>
      <c r="F4935" s="9">
        <v>76</v>
      </c>
      <c r="G4935" s="9">
        <v>878</v>
      </c>
      <c r="H4935" s="5" t="s">
        <v>20</v>
      </c>
      <c r="I4935" s="5" t="s">
        <v>11479</v>
      </c>
      <c r="J4935" s="12" t="str">
        <f>HYPERLINK("https://www.boe.es/gazeta/dias/1807/08/25/pdfs/GMD-1807-76.pdf#page=6","Abrir facsímil")</f>
        <v>Abrir facsímil</v>
      </c>
      <c r="K4935" s="15" t="s">
        <v>22</v>
      </c>
    </row>
    <row r="4936" spans="1:11" ht="42" customHeight="1">
      <c r="A4936" s="4" t="s">
        <v>11472</v>
      </c>
      <c r="B4936" s="5" t="s">
        <v>11472</v>
      </c>
      <c r="C4936" s="5" t="s">
        <v>49</v>
      </c>
      <c r="D4936" s="5" t="s">
        <v>50</v>
      </c>
      <c r="E4936" s="5" t="s">
        <v>167</v>
      </c>
      <c r="F4936" s="9">
        <v>77</v>
      </c>
      <c r="G4936" s="9">
        <v>889</v>
      </c>
      <c r="H4936" s="5" t="s">
        <v>20</v>
      </c>
      <c r="I4936" s="5" t="s">
        <v>11480</v>
      </c>
      <c r="J4936" s="12" t="str">
        <f>HYPERLINK("https://www.boe.es/gazeta/dias/1807/08/28/pdfs/GMD-1807-77.pdf#page=5","Abrir facsímil")</f>
        <v>Abrir facsímil</v>
      </c>
      <c r="K4936" s="15" t="s">
        <v>22</v>
      </c>
    </row>
    <row r="4937" spans="1:11" ht="42" customHeight="1">
      <c r="A4937" s="4" t="s">
        <v>11472</v>
      </c>
      <c r="B4937" s="5" t="s">
        <v>11472</v>
      </c>
      <c r="C4937" s="5" t="s">
        <v>49</v>
      </c>
      <c r="D4937" s="5" t="s">
        <v>50</v>
      </c>
      <c r="E4937" s="5" t="s">
        <v>167</v>
      </c>
      <c r="F4937" s="9">
        <v>77</v>
      </c>
      <c r="G4937" s="9">
        <v>890</v>
      </c>
      <c r="H4937" s="5" t="s">
        <v>20</v>
      </c>
      <c r="I4937" s="5" t="s">
        <v>11481</v>
      </c>
      <c r="J4937" s="12" t="str">
        <f>HYPERLINK("https://www.boe.es/gazeta/dias/1807/08/28/pdfs/GMD-1807-77.pdf#page=6","Abrir facsímil")</f>
        <v>Abrir facsímil</v>
      </c>
      <c r="K4937" s="15" t="s">
        <v>22</v>
      </c>
    </row>
    <row r="4938" spans="1:11" ht="42" customHeight="1">
      <c r="A4938" s="4" t="s">
        <v>11482</v>
      </c>
      <c r="B4938" s="5" t="s">
        <v>11482</v>
      </c>
      <c r="C4938" s="5" t="s">
        <v>34</v>
      </c>
      <c r="D4938" s="5" t="s">
        <v>35</v>
      </c>
      <c r="E4938" s="5" t="s">
        <v>346</v>
      </c>
      <c r="F4938" s="9">
        <v>21</v>
      </c>
      <c r="G4938" s="9">
        <v>241</v>
      </c>
      <c r="H4938" s="5" t="s">
        <v>20</v>
      </c>
      <c r="I4938" s="5" t="s">
        <v>11483</v>
      </c>
      <c r="J4938" s="12" t="str">
        <f>HYPERLINK("https://www.boe.es/gazeta/dias/1807/03/03/pdfs/GMD-1807-21.pdf#page=5","Abrir facsímil")</f>
        <v>Abrir facsímil</v>
      </c>
      <c r="K4938" s="15" t="s">
        <v>22</v>
      </c>
    </row>
    <row r="4939" spans="1:11" ht="42" customHeight="1">
      <c r="A4939" s="4" t="s">
        <v>11484</v>
      </c>
      <c r="B4939" s="5" t="s">
        <v>11484</v>
      </c>
      <c r="C4939" s="5" t="s">
        <v>49</v>
      </c>
      <c r="D4939" s="5" t="s">
        <v>50</v>
      </c>
      <c r="E4939" s="5" t="s">
        <v>149</v>
      </c>
      <c r="F4939" s="9">
        <v>38</v>
      </c>
      <c r="G4939" s="9">
        <v>447</v>
      </c>
      <c r="H4939" s="5" t="s">
        <v>20</v>
      </c>
      <c r="I4939" s="5" t="s">
        <v>11485</v>
      </c>
      <c r="J4939" s="12" t="str">
        <f>HYPERLINK("https://www.boe.es/gazeta/dias/1807/05/01/pdfs/GMD-1807-38.pdf#page=3","Abrir facsímil")</f>
        <v>Abrir facsímil</v>
      </c>
      <c r="K4939" s="15" t="s">
        <v>22</v>
      </c>
    </row>
    <row r="4940" spans="1:11" ht="42" customHeight="1">
      <c r="A4940" s="4" t="s">
        <v>11484</v>
      </c>
      <c r="B4940" s="5" t="s">
        <v>11484</v>
      </c>
      <c r="C4940" s="5" t="s">
        <v>49</v>
      </c>
      <c r="D4940" s="5" t="s">
        <v>50</v>
      </c>
      <c r="E4940" s="5" t="s">
        <v>305</v>
      </c>
      <c r="F4940" s="9">
        <v>53</v>
      </c>
      <c r="G4940" s="9">
        <v>631</v>
      </c>
      <c r="H4940" s="5" t="s">
        <v>20</v>
      </c>
      <c r="I4940" s="5" t="s">
        <v>11486</v>
      </c>
      <c r="J4940" s="12" t="str">
        <f>HYPERLINK("https://www.boe.es/gazeta/dias/1807/06/23/pdfs/GMD-1807-53.pdf#page=5","Abrir facsímil")</f>
        <v>Abrir facsímil</v>
      </c>
      <c r="K4940" s="15" t="s">
        <v>22</v>
      </c>
    </row>
    <row r="4941" spans="1:11" ht="42" customHeight="1">
      <c r="A4941" s="4" t="s">
        <v>11487</v>
      </c>
      <c r="B4941" s="5" t="s">
        <v>11487</v>
      </c>
      <c r="C4941" s="5" t="s">
        <v>28</v>
      </c>
      <c r="D4941" s="5" t="s">
        <v>29</v>
      </c>
      <c r="E4941" s="5" t="s">
        <v>3230</v>
      </c>
      <c r="F4941" s="9">
        <v>27</v>
      </c>
      <c r="G4941" s="9">
        <v>323</v>
      </c>
      <c r="H4941" s="5" t="s">
        <v>20</v>
      </c>
      <c r="I4941" s="5" t="s">
        <v>11488</v>
      </c>
      <c r="J4941" s="12" t="str">
        <f>HYPERLINK("https://www.boe.es/gazeta/dias/1807/03/24/pdfs/GMD-1807-27.pdf#page=7","Abrir facsímil")</f>
        <v>Abrir facsímil</v>
      </c>
      <c r="K4941" s="15" t="s">
        <v>22</v>
      </c>
    </row>
    <row r="4942" spans="1:11" ht="42" customHeight="1">
      <c r="A4942" s="4" t="s">
        <v>11487</v>
      </c>
      <c r="B4942" s="5" t="s">
        <v>11487</v>
      </c>
      <c r="C4942" s="5" t="s">
        <v>49</v>
      </c>
      <c r="D4942" s="5" t="s">
        <v>50</v>
      </c>
      <c r="E4942" s="5" t="s">
        <v>321</v>
      </c>
      <c r="F4942" s="9">
        <v>75</v>
      </c>
      <c r="G4942" s="9">
        <v>865</v>
      </c>
      <c r="H4942" s="5" t="s">
        <v>20</v>
      </c>
      <c r="I4942" s="5" t="s">
        <v>11489</v>
      </c>
      <c r="J4942" s="12" t="str">
        <f>HYPERLINK("https://www.boe.es/gazeta/dias/1807/08/21/pdfs/GMD-1807-75.pdf#page=5","Abrir facsímil")</f>
        <v>Abrir facsímil</v>
      </c>
      <c r="K4942" s="15" t="s">
        <v>22</v>
      </c>
    </row>
    <row r="4943" spans="1:11" ht="42" customHeight="1">
      <c r="A4943" s="4" t="s">
        <v>11490</v>
      </c>
      <c r="B4943" s="5" t="s">
        <v>11491</v>
      </c>
      <c r="C4943" s="5" t="s">
        <v>34</v>
      </c>
      <c r="D4943" s="5" t="s">
        <v>35</v>
      </c>
      <c r="E4943" s="5" t="s">
        <v>461</v>
      </c>
      <c r="F4943" s="9">
        <v>99</v>
      </c>
      <c r="G4943" s="9">
        <v>1149</v>
      </c>
      <c r="H4943" s="5" t="s">
        <v>20</v>
      </c>
      <c r="I4943" s="5" t="s">
        <v>11492</v>
      </c>
      <c r="J4943" s="12" t="str">
        <f>HYPERLINK("https://www.boe.es/gazeta/dias/1807/11/06/pdfs/GMD-1807-99.pdf#page=5","Abrir facsímil")</f>
        <v>Abrir facsímil</v>
      </c>
      <c r="K4943" s="15" t="s">
        <v>22</v>
      </c>
    </row>
    <row r="4944" spans="1:11" ht="42" customHeight="1">
      <c r="A4944" s="4" t="s">
        <v>11493</v>
      </c>
      <c r="B4944" s="5" t="s">
        <v>11493</v>
      </c>
      <c r="C4944" s="5" t="s">
        <v>34</v>
      </c>
      <c r="D4944" s="5" t="s">
        <v>35</v>
      </c>
      <c r="E4944" s="5" t="s">
        <v>327</v>
      </c>
      <c r="F4944" s="9">
        <v>108</v>
      </c>
      <c r="G4944" s="9">
        <v>1254</v>
      </c>
      <c r="H4944" s="5" t="s">
        <v>20</v>
      </c>
      <c r="I4944" s="5" t="s">
        <v>11494</v>
      </c>
      <c r="J4944" s="12" t="str">
        <f>HYPERLINK("https://www.boe.es/gazeta/dias/1807/12/04/pdfs/GMD-1807-108.pdf#page=2","Abrir facsímil")</f>
        <v>Abrir facsímil</v>
      </c>
      <c r="K4944" s="15" t="s">
        <v>22</v>
      </c>
    </row>
    <row r="4945" spans="1:11" ht="42" customHeight="1">
      <c r="A4945" s="4" t="s">
        <v>11495</v>
      </c>
      <c r="B4945" s="5" t="s">
        <v>11495</v>
      </c>
      <c r="C4945" s="5" t="s">
        <v>49</v>
      </c>
      <c r="D4945" s="5" t="s">
        <v>50</v>
      </c>
      <c r="E4945" s="5" t="s">
        <v>167</v>
      </c>
      <c r="F4945" s="9">
        <v>77</v>
      </c>
      <c r="G4945" s="9">
        <v>887</v>
      </c>
      <c r="H4945" s="5" t="s">
        <v>20</v>
      </c>
      <c r="I4945" s="5" t="s">
        <v>11496</v>
      </c>
      <c r="J4945" s="12" t="str">
        <f>HYPERLINK("https://www.boe.es/gazeta/dias/1807/08/28/pdfs/GMD-1807-77.pdf#page=3","Abrir facsímil")</f>
        <v>Abrir facsímil</v>
      </c>
      <c r="K4945" s="15" t="s">
        <v>22</v>
      </c>
    </row>
    <row r="4946" spans="1:11" ht="42" customHeight="1">
      <c r="A4946" s="4" t="s">
        <v>11497</v>
      </c>
      <c r="B4946" s="5" t="s">
        <v>11497</v>
      </c>
      <c r="C4946" s="5" t="s">
        <v>49</v>
      </c>
      <c r="D4946" s="5" t="s">
        <v>50</v>
      </c>
      <c r="E4946" s="5" t="s">
        <v>149</v>
      </c>
      <c r="F4946" s="9">
        <v>38</v>
      </c>
      <c r="G4946" s="9">
        <v>446</v>
      </c>
      <c r="H4946" s="5" t="s">
        <v>20</v>
      </c>
      <c r="I4946" s="5" t="s">
        <v>11498</v>
      </c>
      <c r="J4946" s="12" t="str">
        <f>HYPERLINK("https://www.boe.es/gazeta/dias/1807/05/01/pdfs/GMD-1807-38.pdf#page=2","Abrir facsímil")</f>
        <v>Abrir facsímil</v>
      </c>
      <c r="K4946" s="15" t="s">
        <v>22</v>
      </c>
    </row>
    <row r="4947" spans="1:11" ht="42" customHeight="1">
      <c r="A4947" s="4" t="s">
        <v>11499</v>
      </c>
      <c r="B4947" s="5" t="s">
        <v>11500</v>
      </c>
      <c r="C4947" s="5" t="s">
        <v>252</v>
      </c>
      <c r="D4947" s="5" t="s">
        <v>253</v>
      </c>
      <c r="E4947" s="5" t="s">
        <v>534</v>
      </c>
      <c r="F4947" s="9" t="s">
        <v>535</v>
      </c>
      <c r="G4947" s="9">
        <v>102</v>
      </c>
      <c r="H4947" s="5" t="s">
        <v>20</v>
      </c>
      <c r="I4947" s="5" t="s">
        <v>11501</v>
      </c>
      <c r="J4947" s="12" t="str">
        <f>HYPERLINK("https://www.boe.es/gazeta/dias/1807/01/24/pdfs/GMD-1807-9E.pdf#page=6","Abrir facsímil")</f>
        <v>Abrir facsímil</v>
      </c>
      <c r="K4947" s="15" t="s">
        <v>22</v>
      </c>
    </row>
    <row r="4948" spans="1:11" ht="42" customHeight="1">
      <c r="A4948" s="4" t="s">
        <v>11502</v>
      </c>
      <c r="B4948" s="5" t="s">
        <v>11503</v>
      </c>
      <c r="C4948" s="5" t="s">
        <v>49</v>
      </c>
      <c r="D4948" s="5" t="s">
        <v>50</v>
      </c>
      <c r="E4948" s="5" t="s">
        <v>572</v>
      </c>
      <c r="F4948" s="9">
        <v>14</v>
      </c>
      <c r="G4948" s="9">
        <v>159</v>
      </c>
      <c r="H4948" s="5" t="s">
        <v>20</v>
      </c>
      <c r="I4948" s="5" t="s">
        <v>11504</v>
      </c>
      <c r="J4948" s="12" t="str">
        <f>HYPERLINK("https://www.boe.es/gazeta/dias/1807/02/10/pdfs/GMD-1807-14.pdf#page=7","Abrir facsímil")</f>
        <v>Abrir facsímil</v>
      </c>
      <c r="K4948" s="15" t="s">
        <v>22</v>
      </c>
    </row>
    <row r="4949" spans="1:11" ht="42" customHeight="1">
      <c r="A4949" s="4" t="s">
        <v>11505</v>
      </c>
      <c r="B4949" s="5" t="s">
        <v>11505</v>
      </c>
      <c r="C4949" s="5" t="s">
        <v>34</v>
      </c>
      <c r="D4949" s="5" t="s">
        <v>35</v>
      </c>
      <c r="E4949" s="5" t="s">
        <v>346</v>
      </c>
      <c r="F4949" s="9">
        <v>21</v>
      </c>
      <c r="G4949" s="9">
        <v>238</v>
      </c>
      <c r="H4949" s="5" t="s">
        <v>20</v>
      </c>
      <c r="I4949" s="5" t="s">
        <v>11506</v>
      </c>
      <c r="J4949" s="12" t="str">
        <f>HYPERLINK("https://www.boe.es/gazeta/dias/1807/03/03/pdfs/GMD-1807-21.pdf#page=2","Abrir facsímil")</f>
        <v>Abrir facsímil</v>
      </c>
      <c r="K4949" s="15" t="s">
        <v>22</v>
      </c>
    </row>
    <row r="4950" spans="1:11" ht="42" customHeight="1">
      <c r="A4950" s="4" t="s">
        <v>11507</v>
      </c>
      <c r="B4950" s="5" t="s">
        <v>11508</v>
      </c>
      <c r="C4950" s="5" t="s">
        <v>34</v>
      </c>
      <c r="D4950" s="5" t="s">
        <v>35</v>
      </c>
      <c r="E4950" s="5" t="s">
        <v>139</v>
      </c>
      <c r="F4950" s="9">
        <v>110</v>
      </c>
      <c r="G4950" s="9">
        <v>1284</v>
      </c>
      <c r="H4950" s="5" t="s">
        <v>20</v>
      </c>
      <c r="I4950" s="5" t="s">
        <v>11509</v>
      </c>
      <c r="J4950" s="12" t="str">
        <f>HYPERLINK("https://www.boe.es/gazeta/dias/1807/12/11/pdfs/GMD-1807-110.pdf#page=8","Abrir facsímil")</f>
        <v>Abrir facsímil</v>
      </c>
      <c r="K4950" s="15" t="s">
        <v>22</v>
      </c>
    </row>
    <row r="4951" spans="1:11" ht="42" customHeight="1">
      <c r="A4951" s="4" t="s">
        <v>11510</v>
      </c>
      <c r="B4951" s="5" t="s">
        <v>11511</v>
      </c>
      <c r="C4951" s="5" t="s">
        <v>28</v>
      </c>
      <c r="D4951" s="5" t="s">
        <v>29</v>
      </c>
      <c r="E4951" s="5" t="s">
        <v>65</v>
      </c>
      <c r="F4951" s="9">
        <v>52</v>
      </c>
      <c r="G4951" s="9">
        <v>624</v>
      </c>
      <c r="H4951" s="5" t="s">
        <v>20</v>
      </c>
      <c r="I4951" s="5" t="s">
        <v>11512</v>
      </c>
      <c r="J4951" s="12" t="str">
        <f>HYPERLINK("https://www.boe.es/gazeta/dias/1807/06/19/pdfs/GMD-1807-52.pdf#page=14","Abrir facsímil")</f>
        <v>Abrir facsímil</v>
      </c>
      <c r="K4951" s="15" t="s">
        <v>22</v>
      </c>
    </row>
    <row r="4952" spans="1:11" ht="42" customHeight="1">
      <c r="A4952" s="4" t="s">
        <v>11513</v>
      </c>
      <c r="B4952" s="5" t="s">
        <v>11514</v>
      </c>
      <c r="C4952" s="5" t="s">
        <v>28</v>
      </c>
      <c r="D4952" s="5" t="s">
        <v>29</v>
      </c>
      <c r="E4952" s="5" t="s">
        <v>149</v>
      </c>
      <c r="F4952" s="9">
        <v>38</v>
      </c>
      <c r="G4952" s="9">
        <v>454</v>
      </c>
      <c r="H4952" s="5" t="s">
        <v>20</v>
      </c>
      <c r="I4952" s="5" t="s">
        <v>11515</v>
      </c>
      <c r="J4952" s="12" t="str">
        <f>HYPERLINK("https://www.boe.es/gazeta/dias/1807/05/01/pdfs/GMD-1807-38.pdf#page=10","Abrir facsímil")</f>
        <v>Abrir facsímil</v>
      </c>
      <c r="K4952" s="15" t="s">
        <v>22</v>
      </c>
    </row>
    <row r="4953" spans="1:11" ht="42" customHeight="1">
      <c r="A4953" s="4" t="s">
        <v>11516</v>
      </c>
      <c r="B4953" s="5" t="s">
        <v>11517</v>
      </c>
      <c r="C4953" s="5" t="s">
        <v>34</v>
      </c>
      <c r="D4953" s="5" t="s">
        <v>35</v>
      </c>
      <c r="E4953" s="5" t="s">
        <v>461</v>
      </c>
      <c r="F4953" s="9">
        <v>99</v>
      </c>
      <c r="G4953" s="9">
        <v>1153</v>
      </c>
      <c r="H4953" s="5" t="s">
        <v>20</v>
      </c>
      <c r="I4953" s="5" t="s">
        <v>11518</v>
      </c>
      <c r="J4953" s="12" t="str">
        <f>HYPERLINK("https://www.boe.es/gazeta/dias/1807/11/06/pdfs/GMD-1807-99.pdf#page=9","Abrir facsímil")</f>
        <v>Abrir facsímil</v>
      </c>
      <c r="K4953" s="15" t="s">
        <v>22</v>
      </c>
    </row>
    <row r="4954" spans="1:11" ht="42" customHeight="1">
      <c r="A4954" s="4" t="s">
        <v>11519</v>
      </c>
      <c r="B4954" s="5" t="s">
        <v>11520</v>
      </c>
      <c r="C4954" s="5" t="s">
        <v>17</v>
      </c>
      <c r="D4954" s="5" t="s">
        <v>18</v>
      </c>
      <c r="E4954" s="5" t="s">
        <v>346</v>
      </c>
      <c r="F4954" s="9">
        <v>21</v>
      </c>
      <c r="G4954" s="9">
        <v>244</v>
      </c>
      <c r="H4954" s="5" t="s">
        <v>20</v>
      </c>
      <c r="I4954" s="5" t="s">
        <v>11521</v>
      </c>
      <c r="J4954" s="12" t="str">
        <f>HYPERLINK("https://www.boe.es/gazeta/dias/1807/03/03/pdfs/GMD-1807-21.pdf#page=8","Abrir facsímil")</f>
        <v>Abrir facsímil</v>
      </c>
      <c r="K4954" s="15" t="s">
        <v>22</v>
      </c>
    </row>
    <row r="4955" spans="1:11" ht="42" customHeight="1">
      <c r="A4955" s="4" t="s">
        <v>11522</v>
      </c>
      <c r="B4955" s="5" t="s">
        <v>11523</v>
      </c>
      <c r="C4955" s="5" t="s">
        <v>69</v>
      </c>
      <c r="D4955" s="5" t="s">
        <v>70</v>
      </c>
      <c r="E4955" s="5" t="s">
        <v>71</v>
      </c>
      <c r="F4955" s="9">
        <v>35</v>
      </c>
      <c r="G4955" s="9" t="s">
        <v>197</v>
      </c>
      <c r="H4955" s="5" t="s">
        <v>20</v>
      </c>
      <c r="I4955" s="5" t="s">
        <v>11524</v>
      </c>
      <c r="J4955" s="12" t="str">
        <f>HYPERLINK("https://www.boe.es/gazeta/dias/1807/04/21/pdfs/C00001-00004.pdf#page=3","Abrir facsímil")</f>
        <v>Abrir facsímil</v>
      </c>
      <c r="K4955" s="15" t="s">
        <v>22</v>
      </c>
    </row>
    <row r="4956" spans="1:11" ht="42" customHeight="1">
      <c r="A4956" s="4" t="s">
        <v>11525</v>
      </c>
      <c r="B4956" s="5" t="s">
        <v>11526</v>
      </c>
      <c r="C4956" s="5" t="s">
        <v>28</v>
      </c>
      <c r="D4956" s="5" t="s">
        <v>29</v>
      </c>
      <c r="E4956" s="5" t="s">
        <v>104</v>
      </c>
      <c r="F4956" s="9">
        <v>25</v>
      </c>
      <c r="G4956" s="9">
        <v>302</v>
      </c>
      <c r="H4956" s="5" t="s">
        <v>20</v>
      </c>
      <c r="I4956" s="5" t="s">
        <v>11527</v>
      </c>
      <c r="J4956" s="12" t="str">
        <f>HYPERLINK("https://www.boe.es/gazeta/dias/1807/03/17/pdfs/GMD-1807-25.pdf#page=10","Abrir facsímil")</f>
        <v>Abrir facsímil</v>
      </c>
      <c r="K4956" s="15" t="s">
        <v>22</v>
      </c>
    </row>
    <row r="4957" spans="1:11" ht="42" customHeight="1">
      <c r="A4957" s="4" t="s">
        <v>11528</v>
      </c>
      <c r="B4957" s="5" t="s">
        <v>11529</v>
      </c>
      <c r="C4957" s="5" t="s">
        <v>24</v>
      </c>
      <c r="D4957" s="5" t="s">
        <v>18</v>
      </c>
      <c r="E4957" s="5" t="s">
        <v>19</v>
      </c>
      <c r="F4957" s="9">
        <v>41</v>
      </c>
      <c r="G4957" s="9">
        <v>492</v>
      </c>
      <c r="H4957" s="5" t="s">
        <v>20</v>
      </c>
      <c r="I4957" s="5" t="s">
        <v>11530</v>
      </c>
      <c r="J4957" s="12" t="str">
        <f>HYPERLINK("https://www.boe.es/gazeta/dias/1807/05/12/pdfs/GMD-1807-41.pdf#page=10","Abrir facsímil")</f>
        <v>Abrir facsímil</v>
      </c>
      <c r="K4957" s="15" t="s">
        <v>22</v>
      </c>
    </row>
    <row r="4958" spans="1:11" ht="42" customHeight="1">
      <c r="A4958" s="4" t="s">
        <v>11528</v>
      </c>
      <c r="B4958" s="5" t="s">
        <v>11529</v>
      </c>
      <c r="C4958" s="5" t="s">
        <v>24</v>
      </c>
      <c r="D4958" s="5" t="s">
        <v>18</v>
      </c>
      <c r="E4958" s="5" t="s">
        <v>208</v>
      </c>
      <c r="F4958" s="9">
        <v>42</v>
      </c>
      <c r="G4958" s="9">
        <v>504</v>
      </c>
      <c r="H4958" s="5" t="s">
        <v>20</v>
      </c>
      <c r="I4958" s="5" t="s">
        <v>11531</v>
      </c>
      <c r="J4958" s="12" t="str">
        <f>HYPERLINK("https://www.boe.es/gazeta/dias/1807/05/15/pdfs/GMD-1807-42.pdf#page=10","Abrir facsímil")</f>
        <v>Abrir facsímil</v>
      </c>
      <c r="K4958" s="15" t="s">
        <v>22</v>
      </c>
    </row>
    <row r="4959" spans="1:11" ht="42" customHeight="1">
      <c r="A4959" s="4" t="s">
        <v>11528</v>
      </c>
      <c r="B4959" s="5" t="s">
        <v>11529</v>
      </c>
      <c r="C4959" s="5" t="s">
        <v>24</v>
      </c>
      <c r="D4959" s="5" t="s">
        <v>18</v>
      </c>
      <c r="E4959" s="5" t="s">
        <v>81</v>
      </c>
      <c r="F4959" s="9">
        <v>49</v>
      </c>
      <c r="G4959" s="9">
        <v>586</v>
      </c>
      <c r="H4959" s="5" t="s">
        <v>20</v>
      </c>
      <c r="I4959" s="5" t="s">
        <v>11532</v>
      </c>
      <c r="J4959" s="12" t="str">
        <f>HYPERLINK("https://www.boe.es/gazeta/dias/1807/06/09/pdfs/GMD-1807-49.pdf#page=12","Abrir facsímil")</f>
        <v>Abrir facsímil</v>
      </c>
      <c r="K4959" s="15" t="s">
        <v>22</v>
      </c>
    </row>
    <row r="4960" spans="1:11" ht="42" customHeight="1">
      <c r="A4960" s="4" t="s">
        <v>11533</v>
      </c>
      <c r="B4960" s="5" t="s">
        <v>11534</v>
      </c>
      <c r="C4960" s="5" t="s">
        <v>34</v>
      </c>
      <c r="D4960" s="5" t="s">
        <v>35</v>
      </c>
      <c r="E4960" s="5" t="s">
        <v>114</v>
      </c>
      <c r="F4960" s="9">
        <v>46</v>
      </c>
      <c r="G4960" s="9">
        <v>548</v>
      </c>
      <c r="H4960" s="5" t="s">
        <v>20</v>
      </c>
      <c r="I4960" s="5" t="s">
        <v>11535</v>
      </c>
      <c r="J4960" s="12" t="str">
        <f>HYPERLINK("https://www.boe.es/gazeta/dias/1807/05/29/pdfs/GMD-1807-46.pdf#page=6","Abrir facsímil")</f>
        <v>Abrir facsímil</v>
      </c>
      <c r="K4960" s="15" t="s">
        <v>22</v>
      </c>
    </row>
    <row r="4961" spans="1:11" ht="42" customHeight="1">
      <c r="A4961" s="4" t="s">
        <v>11536</v>
      </c>
      <c r="B4961" s="5" t="s">
        <v>11537</v>
      </c>
      <c r="C4961" s="5" t="s">
        <v>28</v>
      </c>
      <c r="D4961" s="5" t="s">
        <v>29</v>
      </c>
      <c r="E4961" s="5" t="s">
        <v>53</v>
      </c>
      <c r="F4961" s="9">
        <v>64</v>
      </c>
      <c r="G4961" s="9">
        <v>748</v>
      </c>
      <c r="H4961" s="5" t="s">
        <v>20</v>
      </c>
      <c r="I4961" s="5" t="s">
        <v>11538</v>
      </c>
      <c r="J4961" s="12" t="str">
        <f>HYPERLINK("https://www.boe.es/gazeta/dias/1807/07/21/pdfs/GMD-1807-64.pdf#page=10","Abrir facsímil")</f>
        <v>Abrir facsímil</v>
      </c>
      <c r="K4961" s="15" t="s">
        <v>22</v>
      </c>
    </row>
    <row r="4962" spans="1:11" ht="42" customHeight="1">
      <c r="A4962" s="4" t="s">
        <v>11539</v>
      </c>
      <c r="B4962" s="5" t="s">
        <v>11540</v>
      </c>
      <c r="C4962" s="5" t="s">
        <v>34</v>
      </c>
      <c r="D4962" s="5" t="s">
        <v>35</v>
      </c>
      <c r="E4962" s="5" t="s">
        <v>384</v>
      </c>
      <c r="F4962" s="9">
        <v>111</v>
      </c>
      <c r="G4962" s="9">
        <v>1298</v>
      </c>
      <c r="H4962" s="5" t="s">
        <v>20</v>
      </c>
      <c r="I4962" s="5" t="s">
        <v>11541</v>
      </c>
      <c r="J4962" s="12" t="str">
        <f>HYPERLINK("https://www.boe.es/gazeta/dias/1807/12/15/pdfs/GMD-1807-111.pdf#page=10","Abrir facsímil")</f>
        <v>Abrir facsímil</v>
      </c>
      <c r="K4962" s="15" t="s">
        <v>22</v>
      </c>
    </row>
    <row r="4963" spans="1:11" ht="42" customHeight="1">
      <c r="A4963" s="4" t="s">
        <v>11542</v>
      </c>
      <c r="B4963" s="5" t="s">
        <v>11543</v>
      </c>
      <c r="C4963" s="5" t="s">
        <v>34</v>
      </c>
      <c r="D4963" s="5" t="s">
        <v>35</v>
      </c>
      <c r="E4963" s="5" t="s">
        <v>384</v>
      </c>
      <c r="F4963" s="9">
        <v>111</v>
      </c>
      <c r="G4963" s="9">
        <v>1298</v>
      </c>
      <c r="H4963" s="5" t="s">
        <v>20</v>
      </c>
      <c r="I4963" s="5" t="s">
        <v>11544</v>
      </c>
      <c r="J4963" s="12" t="str">
        <f>HYPERLINK("https://www.boe.es/gazeta/dias/1807/12/15/pdfs/GMD-1807-111.pdf#page=10","Abrir facsímil")</f>
        <v>Abrir facsímil</v>
      </c>
      <c r="K4963" s="15" t="s">
        <v>22</v>
      </c>
    </row>
    <row r="4964" spans="1:11" ht="42" customHeight="1">
      <c r="A4964" s="4" t="s">
        <v>11545</v>
      </c>
      <c r="B4964" s="5" t="s">
        <v>11546</v>
      </c>
      <c r="C4964" s="5" t="s">
        <v>34</v>
      </c>
      <c r="D4964" s="5" t="s">
        <v>35</v>
      </c>
      <c r="E4964" s="5" t="s">
        <v>183</v>
      </c>
      <c r="F4964" s="9">
        <v>1</v>
      </c>
      <c r="G4964" s="9">
        <v>11</v>
      </c>
      <c r="H4964" s="5" t="s">
        <v>20</v>
      </c>
      <c r="I4964" s="5" t="s">
        <v>11547</v>
      </c>
      <c r="J4964" s="12" t="str">
        <f>HYPERLINK("https://www.boe.es/gazeta/dias/1807/01/02/pdfs/GMD-1807-1.pdf#page=11","Abrir facsímil")</f>
        <v>Abrir facsímil</v>
      </c>
      <c r="K4964" s="15" t="s">
        <v>22</v>
      </c>
    </row>
    <row r="4965" spans="1:11" ht="42" customHeight="1">
      <c r="A4965" s="4" t="s">
        <v>11548</v>
      </c>
      <c r="B4965" s="5" t="s">
        <v>11548</v>
      </c>
      <c r="C4965" s="5" t="s">
        <v>89</v>
      </c>
      <c r="D4965" s="5" t="s">
        <v>90</v>
      </c>
      <c r="E4965" s="5" t="s">
        <v>595</v>
      </c>
      <c r="F4965" s="9">
        <v>59</v>
      </c>
      <c r="G4965" s="9">
        <v>706</v>
      </c>
      <c r="H4965" s="5" t="s">
        <v>20</v>
      </c>
      <c r="I4965" s="5" t="s">
        <v>11549</v>
      </c>
      <c r="J4965" s="12" t="str">
        <f>HYPERLINK("https://www.boe.es/gazeta/dias/1807/07/10/pdfs/GMD-1807-59.pdf#page=12","Abrir facsímil")</f>
        <v>Abrir facsímil</v>
      </c>
      <c r="K4965" s="15" t="s">
        <v>22</v>
      </c>
    </row>
    <row r="4966" spans="1:11" ht="42" customHeight="1">
      <c r="A4966" s="4" t="s">
        <v>11550</v>
      </c>
      <c r="B4966" s="5" t="s">
        <v>11551</v>
      </c>
      <c r="C4966" s="5" t="s">
        <v>17</v>
      </c>
      <c r="D4966" s="5" t="s">
        <v>18</v>
      </c>
      <c r="E4966" s="5" t="s">
        <v>305</v>
      </c>
      <c r="F4966" s="9">
        <v>53</v>
      </c>
      <c r="G4966" s="9">
        <v>637</v>
      </c>
      <c r="H4966" s="5" t="s">
        <v>20</v>
      </c>
      <c r="I4966" s="5" t="s">
        <v>11552</v>
      </c>
      <c r="J4966" s="12" t="str">
        <f>HYPERLINK("https://www.boe.es/gazeta/dias/1807/06/23/pdfs/GMD-1807-53.pdf#page=11","Abrir facsímil")</f>
        <v>Abrir facsímil</v>
      </c>
      <c r="K4966" s="15" t="s">
        <v>22</v>
      </c>
    </row>
    <row r="4967" spans="1:11" ht="42" customHeight="1">
      <c r="A4967" s="4" t="s">
        <v>11553</v>
      </c>
      <c r="B4967" s="5" t="s">
        <v>11554</v>
      </c>
      <c r="C4967" s="5" t="s">
        <v>34</v>
      </c>
      <c r="D4967" s="5" t="s">
        <v>35</v>
      </c>
      <c r="E4967" s="5" t="s">
        <v>176</v>
      </c>
      <c r="F4967" s="9">
        <v>17</v>
      </c>
      <c r="G4967" s="9">
        <v>195</v>
      </c>
      <c r="H4967" s="5" t="s">
        <v>20</v>
      </c>
      <c r="I4967" s="5" t="s">
        <v>11555</v>
      </c>
      <c r="J4967" s="12" t="str">
        <f>HYPERLINK("https://www.boe.es/gazeta/dias/1807/02/20/pdfs/GMD-1807-17.pdf#page=7","Abrir facsímil")</f>
        <v>Abrir facsímil</v>
      </c>
      <c r="K4967" s="15" t="s">
        <v>22</v>
      </c>
    </row>
    <row r="4968" spans="1:11" ht="42" customHeight="1">
      <c r="A4968" s="4" t="s">
        <v>11556</v>
      </c>
      <c r="B4968" s="5" t="s">
        <v>11557</v>
      </c>
      <c r="C4968" s="5" t="s">
        <v>34</v>
      </c>
      <c r="D4968" s="5" t="s">
        <v>35</v>
      </c>
      <c r="E4968" s="5" t="s">
        <v>135</v>
      </c>
      <c r="F4968" s="9">
        <v>80</v>
      </c>
      <c r="G4968" s="9">
        <v>933</v>
      </c>
      <c r="H4968" s="5" t="s">
        <v>20</v>
      </c>
      <c r="I4968" s="5" t="s">
        <v>11558</v>
      </c>
      <c r="J4968" s="12" t="str">
        <f>HYPERLINK("https://www.boe.es/gazeta/dias/1807/09/08/pdfs/GMD-1807-80.pdf#page=9","Abrir facsímil")</f>
        <v>Abrir facsímil</v>
      </c>
      <c r="K4968" s="15" t="s">
        <v>22</v>
      </c>
    </row>
    <row r="4969" spans="1:11" ht="42" customHeight="1">
      <c r="A4969" s="4" t="s">
        <v>11559</v>
      </c>
      <c r="B4969" s="5" t="s">
        <v>11560</v>
      </c>
      <c r="C4969" s="5" t="s">
        <v>17</v>
      </c>
      <c r="D4969" s="5" t="s">
        <v>18</v>
      </c>
      <c r="E4969" s="5" t="s">
        <v>190</v>
      </c>
      <c r="F4969" s="9">
        <v>37</v>
      </c>
      <c r="G4969" s="9">
        <v>440</v>
      </c>
      <c r="H4969" s="5" t="s">
        <v>20</v>
      </c>
      <c r="I4969" s="5" t="s">
        <v>11561</v>
      </c>
      <c r="J4969" s="12" t="str">
        <f>HYPERLINK("https://www.boe.es/gazeta/dias/1807/04/28/pdfs/GMD-1807-37.pdf#page=8","Abrir facsímil")</f>
        <v>Abrir facsímil</v>
      </c>
      <c r="K4969" s="15" t="s">
        <v>22</v>
      </c>
    </row>
    <row r="4970" spans="1:11" ht="42" customHeight="1">
      <c r="A4970" s="4" t="s">
        <v>11562</v>
      </c>
      <c r="B4970" s="5" t="s">
        <v>11563</v>
      </c>
      <c r="C4970" s="5" t="s">
        <v>17</v>
      </c>
      <c r="D4970" s="5" t="s">
        <v>18</v>
      </c>
      <c r="E4970" s="5" t="s">
        <v>208</v>
      </c>
      <c r="F4970" s="9">
        <v>42</v>
      </c>
      <c r="G4970" s="9">
        <v>501</v>
      </c>
      <c r="H4970" s="5" t="s">
        <v>20</v>
      </c>
      <c r="I4970" s="5" t="s">
        <v>11564</v>
      </c>
      <c r="J4970" s="12" t="str">
        <f>HYPERLINK("https://www.boe.es/gazeta/dias/1807/05/15/pdfs/GMD-1807-42.pdf#page=7","Abrir facsímil")</f>
        <v>Abrir facsímil</v>
      </c>
      <c r="K4970" s="15" t="s">
        <v>22</v>
      </c>
    </row>
    <row r="4971" spans="1:11" ht="42" customHeight="1">
      <c r="A4971" s="4" t="s">
        <v>11562</v>
      </c>
      <c r="B4971" s="5" t="s">
        <v>11563</v>
      </c>
      <c r="C4971" s="5" t="s">
        <v>34</v>
      </c>
      <c r="D4971" s="5" t="s">
        <v>35</v>
      </c>
      <c r="E4971" s="5" t="s">
        <v>25</v>
      </c>
      <c r="F4971" s="9">
        <v>45</v>
      </c>
      <c r="G4971" s="9">
        <v>536</v>
      </c>
      <c r="H4971" s="5" t="s">
        <v>20</v>
      </c>
      <c r="I4971" s="5" t="s">
        <v>11565</v>
      </c>
      <c r="J4971" s="12" t="str">
        <f>HYPERLINK("https://www.boe.es/gazeta/dias/1807/05/26/pdfs/GMD-1807-45.pdf#page=6","Abrir facsímil")</f>
        <v>Abrir facsímil</v>
      </c>
      <c r="K4971" s="15" t="s">
        <v>22</v>
      </c>
    </row>
    <row r="4972" spans="1:11" ht="42" customHeight="1">
      <c r="A4972" s="4" t="s">
        <v>11566</v>
      </c>
      <c r="B4972" s="5" t="s">
        <v>11567</v>
      </c>
      <c r="C4972" s="5" t="s">
        <v>34</v>
      </c>
      <c r="D4972" s="5" t="s">
        <v>35</v>
      </c>
      <c r="E4972" s="5" t="s">
        <v>53</v>
      </c>
      <c r="F4972" s="9">
        <v>64</v>
      </c>
      <c r="G4972" s="9">
        <v>747</v>
      </c>
      <c r="H4972" s="5" t="s">
        <v>20</v>
      </c>
      <c r="I4972" s="5" t="s">
        <v>11568</v>
      </c>
      <c r="J4972" s="12" t="str">
        <f>HYPERLINK("https://www.boe.es/gazeta/dias/1807/07/21/pdfs/GMD-1807-64.pdf#page=9","Abrir facsímil")</f>
        <v>Abrir facsímil</v>
      </c>
      <c r="K4972" s="15" t="s">
        <v>22</v>
      </c>
    </row>
    <row r="4973" spans="1:11" ht="42" customHeight="1">
      <c r="A4973" s="4" t="s">
        <v>11569</v>
      </c>
      <c r="B4973" s="5" t="s">
        <v>11570</v>
      </c>
      <c r="C4973" s="5" t="s">
        <v>89</v>
      </c>
      <c r="D4973" s="5" t="s">
        <v>90</v>
      </c>
      <c r="E4973" s="5" t="s">
        <v>215</v>
      </c>
      <c r="F4973" s="9">
        <v>5</v>
      </c>
      <c r="G4973" s="9">
        <v>55</v>
      </c>
      <c r="H4973" s="5" t="s">
        <v>20</v>
      </c>
      <c r="I4973" s="5" t="s">
        <v>11571</v>
      </c>
      <c r="J4973" s="12" t="str">
        <f>HYPERLINK("https://www.boe.es/gazeta/dias/1807/01/16/pdfs/GMD-1807-5.pdf#page=11","Abrir facsímil")</f>
        <v>Abrir facsímil</v>
      </c>
      <c r="K4973" s="15" t="s">
        <v>22</v>
      </c>
    </row>
    <row r="4974" spans="1:11" ht="42" customHeight="1">
      <c r="A4974" s="4" t="s">
        <v>11572</v>
      </c>
      <c r="B4974" s="5" t="s">
        <v>11572</v>
      </c>
      <c r="C4974" s="5" t="s">
        <v>34</v>
      </c>
      <c r="D4974" s="5" t="s">
        <v>35</v>
      </c>
      <c r="E4974" s="5" t="s">
        <v>215</v>
      </c>
      <c r="F4974" s="9" t="s">
        <v>517</v>
      </c>
      <c r="G4974" s="9">
        <v>61</v>
      </c>
      <c r="H4974" s="5" t="s">
        <v>20</v>
      </c>
      <c r="I4974" s="5" t="s">
        <v>11573</v>
      </c>
      <c r="J4974" s="12" t="str">
        <f>HYPERLINK("https://www.boe.es/gazeta/dias/1807/01/16/pdfs/GMD-1807-6E.pdf#page=1","Abrir facsímil")</f>
        <v>Abrir facsímil</v>
      </c>
      <c r="K4974" s="15" t="s">
        <v>22</v>
      </c>
    </row>
    <row r="4975" spans="1:11" ht="42" customHeight="1">
      <c r="A4975" s="4" t="s">
        <v>11574</v>
      </c>
      <c r="B4975" s="5" t="s">
        <v>11575</v>
      </c>
      <c r="C4975" s="5" t="s">
        <v>49</v>
      </c>
      <c r="D4975" s="5" t="s">
        <v>50</v>
      </c>
      <c r="E4975" s="5" t="s">
        <v>51</v>
      </c>
      <c r="F4975" s="9">
        <v>62</v>
      </c>
      <c r="G4975" s="9">
        <v>730</v>
      </c>
      <c r="H4975" s="5" t="s">
        <v>20</v>
      </c>
      <c r="I4975" s="5" t="s">
        <v>11576</v>
      </c>
      <c r="J4975" s="12" t="str">
        <f>HYPERLINK("https://www.boe.es/gazeta/dias/1807/07/17/pdfs/GMD-1807-62.pdf#page=4","Abrir facsímil")</f>
        <v>Abrir facsímil</v>
      </c>
      <c r="K4975" s="15" t="s">
        <v>22</v>
      </c>
    </row>
    <row r="4976" spans="1:11" ht="42" customHeight="1">
      <c r="A4976" s="4" t="s">
        <v>11577</v>
      </c>
      <c r="B4976" s="5" t="s">
        <v>11578</v>
      </c>
      <c r="C4976" s="5" t="s">
        <v>17</v>
      </c>
      <c r="D4976" s="5" t="s">
        <v>18</v>
      </c>
      <c r="E4976" s="5" t="s">
        <v>51</v>
      </c>
      <c r="F4976" s="9">
        <v>62</v>
      </c>
      <c r="G4976" s="9">
        <v>733</v>
      </c>
      <c r="H4976" s="5" t="s">
        <v>20</v>
      </c>
      <c r="I4976" s="5" t="s">
        <v>11579</v>
      </c>
      <c r="J4976" s="12" t="str">
        <f>HYPERLINK("https://www.boe.es/gazeta/dias/1807/07/17/pdfs/GMD-1807-62.pdf#page=7","Abrir facsímil")</f>
        <v>Abrir facsímil</v>
      </c>
      <c r="K4976" s="15" t="s">
        <v>22</v>
      </c>
    </row>
    <row r="4977" spans="1:11" ht="42" customHeight="1">
      <c r="A4977" s="4" t="s">
        <v>11580</v>
      </c>
      <c r="B4977" s="5" t="s">
        <v>11581</v>
      </c>
      <c r="C4977" s="5" t="s">
        <v>24</v>
      </c>
      <c r="D4977" s="5" t="s">
        <v>18</v>
      </c>
      <c r="E4977" s="5" t="s">
        <v>62</v>
      </c>
      <c r="F4977" s="9">
        <v>68</v>
      </c>
      <c r="G4977" s="9">
        <v>786</v>
      </c>
      <c r="H4977" s="5" t="s">
        <v>20</v>
      </c>
      <c r="I4977" s="5" t="s">
        <v>11582</v>
      </c>
      <c r="J4977" s="12" t="str">
        <f>HYPERLINK("https://www.boe.es/gazeta/dias/1807/07/31/pdfs/GMD-1807-68.pdf#page=10","Abrir facsímil")</f>
        <v>Abrir facsímil</v>
      </c>
      <c r="K4977" s="15" t="s">
        <v>22</v>
      </c>
    </row>
    <row r="4978" spans="1:11" ht="42" customHeight="1">
      <c r="A4978" s="4" t="s">
        <v>11580</v>
      </c>
      <c r="B4978" s="5" t="s">
        <v>11581</v>
      </c>
      <c r="C4978" s="5" t="s">
        <v>34</v>
      </c>
      <c r="D4978" s="5" t="s">
        <v>35</v>
      </c>
      <c r="E4978" s="5" t="s">
        <v>309</v>
      </c>
      <c r="F4978" s="9">
        <v>107</v>
      </c>
      <c r="G4978" s="9">
        <v>1249</v>
      </c>
      <c r="H4978" s="5" t="s">
        <v>20</v>
      </c>
      <c r="I4978" s="5" t="s">
        <v>11583</v>
      </c>
      <c r="J4978" s="12" t="str">
        <f>HYPERLINK("https://www.boe.es/gazeta/dias/1807/12/01/pdfs/GMD-1807-107.pdf#page=9","Abrir facsímil")</f>
        <v>Abrir facsímil</v>
      </c>
      <c r="K4978" s="15" t="s">
        <v>22</v>
      </c>
    </row>
    <row r="4979" spans="1:11" ht="42" customHeight="1">
      <c r="A4979" s="4" t="s">
        <v>11584</v>
      </c>
      <c r="B4979" s="5" t="s">
        <v>11585</v>
      </c>
      <c r="C4979" s="5" t="s">
        <v>17</v>
      </c>
      <c r="D4979" s="5" t="s">
        <v>18</v>
      </c>
      <c r="E4979" s="5" t="s">
        <v>666</v>
      </c>
      <c r="F4979" s="9">
        <v>43</v>
      </c>
      <c r="G4979" s="9">
        <v>515</v>
      </c>
      <c r="H4979" s="5" t="s">
        <v>20</v>
      </c>
      <c r="I4979" s="5" t="s">
        <v>11586</v>
      </c>
      <c r="J4979" s="12" t="str">
        <f>HYPERLINK("https://www.boe.es/gazeta/dias/1807/05/19/pdfs/GMD-1807-43.pdf#page=9","Abrir facsímil")</f>
        <v>Abrir facsímil</v>
      </c>
      <c r="K4979" s="15" t="s">
        <v>22</v>
      </c>
    </row>
    <row r="4980" spans="1:11" ht="42" customHeight="1">
      <c r="A4980" s="4" t="s">
        <v>11587</v>
      </c>
      <c r="B4980" s="5" t="s">
        <v>11588</v>
      </c>
      <c r="C4980" s="5" t="s">
        <v>34</v>
      </c>
      <c r="D4980" s="5" t="s">
        <v>35</v>
      </c>
      <c r="E4980" s="5" t="s">
        <v>309</v>
      </c>
      <c r="F4980" s="9">
        <v>107</v>
      </c>
      <c r="G4980" s="9">
        <v>1247</v>
      </c>
      <c r="H4980" s="5" t="s">
        <v>20</v>
      </c>
      <c r="I4980" s="5" t="s">
        <v>11589</v>
      </c>
      <c r="J4980" s="12" t="str">
        <f>HYPERLINK("https://www.boe.es/gazeta/dias/1807/12/01/pdfs/GMD-1807-107.pdf#page=7","Abrir facsímil")</f>
        <v>Abrir facsímil</v>
      </c>
      <c r="K4980" s="15" t="s">
        <v>22</v>
      </c>
    </row>
    <row r="4981" spans="1:11" ht="42" customHeight="1">
      <c r="A4981" s="4" t="s">
        <v>11590</v>
      </c>
      <c r="B4981" s="5" t="s">
        <v>11591</v>
      </c>
      <c r="C4981" s="5" t="s">
        <v>34</v>
      </c>
      <c r="D4981" s="5" t="s">
        <v>35</v>
      </c>
      <c r="E4981" s="5" t="s">
        <v>464</v>
      </c>
      <c r="F4981" s="9">
        <v>18</v>
      </c>
      <c r="G4981" s="9">
        <v>212</v>
      </c>
      <c r="H4981" s="5" t="s">
        <v>20</v>
      </c>
      <c r="I4981" s="5" t="s">
        <v>11592</v>
      </c>
      <c r="J4981" s="12" t="str">
        <f>HYPERLINK("https://www.boe.es/gazeta/dias/1807/02/24/pdfs/GMD-1807-18.pdf#page=12","Abrir facsímil")</f>
        <v>Abrir facsímil</v>
      </c>
      <c r="K4981" s="15" t="s">
        <v>22</v>
      </c>
    </row>
    <row r="4982" spans="1:11" ht="42" customHeight="1">
      <c r="A4982" s="4" t="s">
        <v>11593</v>
      </c>
      <c r="B4982" s="5" t="s">
        <v>11594</v>
      </c>
      <c r="C4982" s="5" t="s">
        <v>49</v>
      </c>
      <c r="D4982" s="5" t="s">
        <v>50</v>
      </c>
      <c r="E4982" s="5" t="s">
        <v>572</v>
      </c>
      <c r="F4982" s="9">
        <v>14</v>
      </c>
      <c r="G4982" s="9">
        <v>157</v>
      </c>
      <c r="H4982" s="5" t="s">
        <v>20</v>
      </c>
      <c r="I4982" s="5" t="s">
        <v>11595</v>
      </c>
      <c r="J4982" s="12" t="str">
        <f>HYPERLINK("https://www.boe.es/gazeta/dias/1807/02/10/pdfs/GMD-1807-14.pdf#page=5","Abrir facsímil")</f>
        <v>Abrir facsímil</v>
      </c>
      <c r="K4982" s="15" t="s">
        <v>22</v>
      </c>
    </row>
    <row r="4983" spans="1:11" ht="42" customHeight="1">
      <c r="A4983" s="4" t="s">
        <v>11596</v>
      </c>
      <c r="B4983" s="5" t="s">
        <v>11597</v>
      </c>
      <c r="C4983" s="5" t="s">
        <v>28</v>
      </c>
      <c r="D4983" s="5" t="s">
        <v>29</v>
      </c>
      <c r="E4983" s="5" t="s">
        <v>101</v>
      </c>
      <c r="F4983" s="9">
        <v>23</v>
      </c>
      <c r="G4983" s="9">
        <v>275</v>
      </c>
      <c r="H4983" s="5" t="s">
        <v>20</v>
      </c>
      <c r="I4983" s="5" t="s">
        <v>11598</v>
      </c>
      <c r="J4983" s="12" t="str">
        <f>HYPERLINK("https://www.boe.es/gazeta/dias/1807/03/10/pdfs/GMD-1807-23.pdf#page=15","Abrir facsímil")</f>
        <v>Abrir facsímil</v>
      </c>
      <c r="K4983" s="15" t="s">
        <v>22</v>
      </c>
    </row>
    <row r="4984" spans="1:11" ht="42" customHeight="1">
      <c r="A4984" s="4" t="s">
        <v>11596</v>
      </c>
      <c r="B4984" s="5" t="s">
        <v>11597</v>
      </c>
      <c r="C4984" s="5" t="s">
        <v>89</v>
      </c>
      <c r="D4984" s="5" t="s">
        <v>90</v>
      </c>
      <c r="E4984" s="5" t="s">
        <v>321</v>
      </c>
      <c r="F4984" s="9">
        <v>75</v>
      </c>
      <c r="G4984" s="9">
        <v>868</v>
      </c>
      <c r="H4984" s="5" t="s">
        <v>20</v>
      </c>
      <c r="I4984" s="5" t="s">
        <v>11599</v>
      </c>
      <c r="J4984" s="12" t="str">
        <f>HYPERLINK("https://www.boe.es/gazeta/dias/1807/08/21/pdfs/GMD-1807-75.pdf#page=8","Abrir facsímil")</f>
        <v>Abrir facsímil</v>
      </c>
      <c r="K4984" s="15" t="s">
        <v>22</v>
      </c>
    </row>
    <row r="4985" spans="1:11" ht="42" customHeight="1">
      <c r="A4985" s="4" t="s">
        <v>11600</v>
      </c>
      <c r="B4985" s="5" t="s">
        <v>11601</v>
      </c>
      <c r="C4985" s="5" t="s">
        <v>34</v>
      </c>
      <c r="D4985" s="5" t="s">
        <v>35</v>
      </c>
      <c r="E4985" s="5" t="s">
        <v>65</v>
      </c>
      <c r="F4985" s="9">
        <v>52</v>
      </c>
      <c r="G4985" s="9">
        <v>621</v>
      </c>
      <c r="H4985" s="5" t="s">
        <v>20</v>
      </c>
      <c r="I4985" s="5" t="s">
        <v>11602</v>
      </c>
      <c r="J4985" s="12" t="str">
        <f>HYPERLINK("https://www.boe.es/gazeta/dias/1807/06/19/pdfs/GMD-1807-52.pdf#page=11","Abrir facsímil")</f>
        <v>Abrir facsímil</v>
      </c>
      <c r="K4985" s="15" t="s">
        <v>22</v>
      </c>
    </row>
    <row r="4986" spans="1:11" ht="42" customHeight="1">
      <c r="A4986" s="4" t="s">
        <v>11603</v>
      </c>
      <c r="B4986" s="5" t="s">
        <v>11604</v>
      </c>
      <c r="C4986" s="5" t="s">
        <v>34</v>
      </c>
      <c r="D4986" s="5" t="s">
        <v>35</v>
      </c>
      <c r="E4986" s="5" t="s">
        <v>36</v>
      </c>
      <c r="F4986" s="9">
        <v>36</v>
      </c>
      <c r="G4986" s="9">
        <v>430</v>
      </c>
      <c r="H4986" s="5" t="s">
        <v>20</v>
      </c>
      <c r="I4986" s="5" t="s">
        <v>11605</v>
      </c>
      <c r="J4986" s="12" t="str">
        <f>HYPERLINK("https://www.boe.es/gazeta/dias/1807/04/24/pdfs/GMD-1807-36.pdf#page=10","Abrir facsímil")</f>
        <v>Abrir facsímil</v>
      </c>
      <c r="K4986" s="15" t="s">
        <v>22</v>
      </c>
    </row>
    <row r="4987" spans="1:11" ht="42" customHeight="1">
      <c r="A4987" s="4" t="s">
        <v>11606</v>
      </c>
      <c r="B4987" s="5" t="s">
        <v>11607</v>
      </c>
      <c r="C4987" s="5" t="s">
        <v>89</v>
      </c>
      <c r="D4987" s="5" t="s">
        <v>90</v>
      </c>
      <c r="E4987" s="5" t="s">
        <v>208</v>
      </c>
      <c r="F4987" s="9">
        <v>42</v>
      </c>
      <c r="G4987" s="9">
        <v>506</v>
      </c>
      <c r="H4987" s="5" t="s">
        <v>20</v>
      </c>
      <c r="I4987" s="5" t="s">
        <v>11608</v>
      </c>
      <c r="J4987" s="12" t="str">
        <f>HYPERLINK("https://www.boe.es/gazeta/dias/1807/05/15/pdfs/GMD-1807-42.pdf#page=12","Abrir facsímil")</f>
        <v>Abrir facsímil</v>
      </c>
      <c r="K4987" s="15" t="s">
        <v>22</v>
      </c>
    </row>
    <row r="4988" spans="1:11" ht="42" customHeight="1">
      <c r="A4988" s="4" t="s">
        <v>11609</v>
      </c>
      <c r="B4988" s="5" t="s">
        <v>11610</v>
      </c>
      <c r="C4988" s="5" t="s">
        <v>28</v>
      </c>
      <c r="D4988" s="5" t="s">
        <v>29</v>
      </c>
      <c r="E4988" s="5" t="s">
        <v>266</v>
      </c>
      <c r="F4988" s="9">
        <v>67</v>
      </c>
      <c r="G4988" s="9">
        <v>775</v>
      </c>
      <c r="H4988" s="5" t="s">
        <v>20</v>
      </c>
      <c r="I4988" s="5" t="s">
        <v>11611</v>
      </c>
      <c r="J4988" s="12" t="str">
        <f>HYPERLINK("https://www.boe.es/gazeta/dias/1807/07/28/pdfs/GMD-1807-67.pdf#page=11","Abrir facsímil")</f>
        <v>Abrir facsímil</v>
      </c>
      <c r="K4988" s="15" t="s">
        <v>22</v>
      </c>
    </row>
    <row r="4989" spans="1:11" ht="42" customHeight="1">
      <c r="A4989" s="6" t="s">
        <v>11612</v>
      </c>
      <c r="B4989" s="7" t="s">
        <v>11613</v>
      </c>
      <c r="C4989" s="7" t="s">
        <v>24</v>
      </c>
      <c r="D4989" s="7" t="s">
        <v>18</v>
      </c>
      <c r="E4989" s="7" t="s">
        <v>46</v>
      </c>
      <c r="F4989" s="10">
        <v>78</v>
      </c>
      <c r="G4989" s="10">
        <v>904</v>
      </c>
      <c r="H4989" s="7" t="s">
        <v>20</v>
      </c>
      <c r="I4989" s="7" t="s">
        <v>11614</v>
      </c>
      <c r="J4989" s="13" t="str">
        <f>HYPERLINK("https://www.boe.es/gazeta/dias/1807/09/01/pdfs/GMD-1807-78.pdf#page=8","Abrir facsímil")</f>
        <v>Abrir facsímil</v>
      </c>
      <c r="K4989" s="16" t="s">
        <v>22</v>
      </c>
    </row>
  </sheetData>
  <mergeCells count="5">
    <mergeCell ref="A1:K1"/>
    <mergeCell ref="A2:K2"/>
    <mergeCell ref="A3:C3"/>
    <mergeCell ref="D3:K3"/>
    <mergeCell ref="A4:K4"/>
  </mergeCells>
  <conditionalFormatting sqref="K7:K4989">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39"/>
  <sheetViews>
    <sheetView showGridLines="0" workbookViewId="0">
      <pane ySplit="3" topLeftCell="A4" activePane="bottomLeft" state="frozen"/>
      <selection pane="bottomLeft"/>
    </sheetView>
  </sheetViews>
  <sheetFormatPr baseColWidth="10" defaultColWidth="8.796875" defaultRowHeight="13.8"/>
  <cols>
    <col min="1" max="1" width="26" customWidth="1"/>
    <col min="2" max="2" width="28" customWidth="1"/>
    <col min="3" max="3" width="26" customWidth="1"/>
    <col min="4" max="4" width="13" customWidth="1"/>
    <col min="5" max="5" width="22" customWidth="1"/>
  </cols>
  <sheetData>
    <row r="1" spans="1:5" ht="31.95" customHeight="1">
      <c r="A1" s="30" t="s">
        <v>11615</v>
      </c>
      <c r="B1" s="30"/>
      <c r="C1" s="30"/>
      <c r="D1" s="30"/>
      <c r="E1" s="30"/>
    </row>
    <row r="3" spans="1:5">
      <c r="A3" s="1" t="s">
        <v>10</v>
      </c>
      <c r="B3" s="1" t="s">
        <v>9</v>
      </c>
      <c r="C3" s="1" t="s">
        <v>11616</v>
      </c>
      <c r="D3" s="1" t="s">
        <v>11617</v>
      </c>
      <c r="E3" s="1" t="s">
        <v>11618</v>
      </c>
    </row>
    <row r="4" spans="1:5">
      <c r="A4" s="20">
        <v>1</v>
      </c>
      <c r="B4" s="17" t="s">
        <v>183</v>
      </c>
      <c r="C4" s="23" t="s">
        <v>11619</v>
      </c>
      <c r="D4" s="23">
        <v>49</v>
      </c>
      <c r="E4" s="26" t="str">
        <f>HYPERLINK("https://www.boe.es/gazeta/dias/1807/01/02/pdfs/GMD-1807-1.pdf","Abrir fascículo")</f>
        <v>Abrir fascículo</v>
      </c>
    </row>
    <row r="5" spans="1:5">
      <c r="A5" s="21">
        <v>2</v>
      </c>
      <c r="B5" s="18" t="s">
        <v>1934</v>
      </c>
      <c r="C5" s="24" t="s">
        <v>11620</v>
      </c>
      <c r="D5" s="24">
        <v>18</v>
      </c>
      <c r="E5" s="27" t="str">
        <f>HYPERLINK("https://www.boe.es/gazeta/dias/1807/01/06/pdfs/GMD-1807-2.pdf","Abrir fascículo")</f>
        <v>Abrir fascículo</v>
      </c>
    </row>
    <row r="6" spans="1:5">
      <c r="A6" s="21">
        <v>3</v>
      </c>
      <c r="B6" s="18" t="s">
        <v>259</v>
      </c>
      <c r="C6" s="24" t="s">
        <v>11621</v>
      </c>
      <c r="D6" s="24">
        <v>52</v>
      </c>
      <c r="E6" s="27" t="str">
        <f>HYPERLINK("https://www.boe.es/gazeta/dias/1807/01/09/pdfs/GMD-1807-3.pdf","Abrir fascículo")</f>
        <v>Abrir fascículo</v>
      </c>
    </row>
    <row r="7" spans="1:5">
      <c r="A7" s="21">
        <v>4</v>
      </c>
      <c r="B7" s="18" t="s">
        <v>418</v>
      </c>
      <c r="C7" s="24" t="s">
        <v>11622</v>
      </c>
      <c r="D7" s="24">
        <v>48</v>
      </c>
      <c r="E7" s="27" t="str">
        <f>HYPERLINK("https://www.boe.es/gazeta/dias/1807/01/13/pdfs/GMD-1807-4.pdf","Abrir fascículo")</f>
        <v>Abrir fascículo</v>
      </c>
    </row>
    <row r="8" spans="1:5">
      <c r="A8" s="21">
        <v>5</v>
      </c>
      <c r="B8" s="18" t="s">
        <v>215</v>
      </c>
      <c r="C8" s="24" t="s">
        <v>11623</v>
      </c>
      <c r="D8" s="24">
        <v>66</v>
      </c>
      <c r="E8" s="27" t="str">
        <f>HYPERLINK("https://www.boe.es/gazeta/dias/1807/01/16/pdfs/GMD-1807-5.pdf","Abrir fascículo")</f>
        <v>Abrir fascículo</v>
      </c>
    </row>
    <row r="9" spans="1:5">
      <c r="A9" s="21" t="s">
        <v>11624</v>
      </c>
      <c r="B9" s="18" t="s">
        <v>215</v>
      </c>
      <c r="C9" s="24" t="s">
        <v>11625</v>
      </c>
      <c r="D9" s="24">
        <v>8</v>
      </c>
      <c r="E9" s="27" t="str">
        <f>HYPERLINK("https://www.boe.es/gazeta/dias/1807/01/16/pdfs/GMD-C-1807-5.pdf","Abrir suplemento")</f>
        <v>Abrir suplemento</v>
      </c>
    </row>
    <row r="10" spans="1:5">
      <c r="A10" s="21" t="s">
        <v>517</v>
      </c>
      <c r="B10" s="18" t="s">
        <v>215</v>
      </c>
      <c r="C10" s="24" t="s">
        <v>11626</v>
      </c>
      <c r="D10" s="24">
        <v>11</v>
      </c>
      <c r="E10" s="27" t="str">
        <f>HYPERLINK("https://www.boe.es/gazeta/dias/1807/01/16/pdfs/GMD-1807-6E.pdf","Abrir extraordinaria")</f>
        <v>Abrir extraordinaria</v>
      </c>
    </row>
    <row r="11" spans="1:5">
      <c r="A11" s="21">
        <v>7</v>
      </c>
      <c r="B11" s="18" t="s">
        <v>76</v>
      </c>
      <c r="C11" s="24" t="s">
        <v>11627</v>
      </c>
      <c r="D11" s="24">
        <v>65</v>
      </c>
      <c r="E11" s="27" t="str">
        <f>HYPERLINK("https://www.boe.es/gazeta/dias/1807/01/20/pdfs/GMD-1807-7.pdf","Abrir fascículo")</f>
        <v>Abrir fascículo</v>
      </c>
    </row>
    <row r="12" spans="1:5">
      <c r="A12" s="21">
        <v>8</v>
      </c>
      <c r="B12" s="18" t="s">
        <v>270</v>
      </c>
      <c r="C12" s="24" t="s">
        <v>11628</v>
      </c>
      <c r="D12" s="24">
        <v>22</v>
      </c>
      <c r="E12" s="27" t="str">
        <f>HYPERLINK("https://www.boe.es/gazeta/dias/1807/01/23/pdfs/GMD-1807-8.pdf","Abrir fascículo")</f>
        <v>Abrir fascículo</v>
      </c>
    </row>
    <row r="13" spans="1:5">
      <c r="A13" s="21" t="s">
        <v>535</v>
      </c>
      <c r="B13" s="18" t="s">
        <v>534</v>
      </c>
      <c r="C13" s="24" t="s">
        <v>11629</v>
      </c>
      <c r="D13" s="24">
        <v>50</v>
      </c>
      <c r="E13" s="27" t="str">
        <f>HYPERLINK("https://www.boe.es/gazeta/dias/1807/01/24/pdfs/GMD-1807-9E.pdf","Abrir extraordinaria")</f>
        <v>Abrir extraordinaria</v>
      </c>
    </row>
    <row r="14" spans="1:5">
      <c r="A14" s="21">
        <v>10</v>
      </c>
      <c r="B14" s="18" t="s">
        <v>120</v>
      </c>
      <c r="C14" s="24" t="s">
        <v>11630</v>
      </c>
      <c r="D14" s="24">
        <v>41</v>
      </c>
      <c r="E14" s="27" t="str">
        <f>HYPERLINK("https://www.boe.es/gazeta/dias/1807/01/27/pdfs/GMD-1807-10.pdf","Abrir fascículo")</f>
        <v>Abrir fascículo</v>
      </c>
    </row>
    <row r="15" spans="1:5">
      <c r="A15" s="21">
        <v>11</v>
      </c>
      <c r="B15" s="18" t="s">
        <v>79</v>
      </c>
      <c r="C15" s="24" t="s">
        <v>11631</v>
      </c>
      <c r="D15" s="24">
        <v>55</v>
      </c>
      <c r="E15" s="27" t="str">
        <f>HYPERLINK("https://www.boe.es/gazeta/dias/1807/01/30/pdfs/GMD-1807-11.pdf","Abrir fascículo")</f>
        <v>Abrir fascículo</v>
      </c>
    </row>
    <row r="16" spans="1:5">
      <c r="A16" s="21">
        <v>12</v>
      </c>
      <c r="B16" s="18" t="s">
        <v>86</v>
      </c>
      <c r="C16" s="24" t="s">
        <v>11632</v>
      </c>
      <c r="D16" s="24">
        <v>48</v>
      </c>
      <c r="E16" s="27" t="str">
        <f>HYPERLINK("https://www.boe.es/gazeta/dias/1807/02/03/pdfs/GMD-1807-12.pdf","Abrir fascículo")</f>
        <v>Abrir fascículo</v>
      </c>
    </row>
    <row r="17" spans="1:5">
      <c r="A17" s="21">
        <v>13</v>
      </c>
      <c r="B17" s="18" t="s">
        <v>30</v>
      </c>
      <c r="C17" s="24" t="s">
        <v>11633</v>
      </c>
      <c r="D17" s="24">
        <v>55</v>
      </c>
      <c r="E17" s="27" t="str">
        <f>HYPERLINK("https://www.boe.es/gazeta/dias/1807/02/06/pdfs/GMD-1807-13.pdf","Abrir fascículo")</f>
        <v>Abrir fascículo</v>
      </c>
    </row>
    <row r="18" spans="1:5">
      <c r="A18" s="21">
        <v>14</v>
      </c>
      <c r="B18" s="18" t="s">
        <v>572</v>
      </c>
      <c r="C18" s="24" t="s">
        <v>11634</v>
      </c>
      <c r="D18" s="24">
        <v>58</v>
      </c>
      <c r="E18" s="27" t="str">
        <f>HYPERLINK("https://www.boe.es/gazeta/dias/1807/02/10/pdfs/GMD-1807-14.pdf","Abrir fascículo")</f>
        <v>Abrir fascículo</v>
      </c>
    </row>
    <row r="19" spans="1:5">
      <c r="A19" s="21">
        <v>15</v>
      </c>
      <c r="B19" s="18" t="s">
        <v>393</v>
      </c>
      <c r="C19" s="24" t="s">
        <v>11635</v>
      </c>
      <c r="D19" s="24">
        <v>47</v>
      </c>
      <c r="E19" s="27" t="str">
        <f>HYPERLINK("https://www.boe.es/gazeta/dias/1807/02/13/pdfs/GMD-1807-15.pdf","Abrir fascículo")</f>
        <v>Abrir fascículo</v>
      </c>
    </row>
    <row r="20" spans="1:5">
      <c r="A20" s="21">
        <v>16</v>
      </c>
      <c r="B20" s="18" t="s">
        <v>282</v>
      </c>
      <c r="C20" s="24" t="s">
        <v>11636</v>
      </c>
      <c r="D20" s="24">
        <v>36</v>
      </c>
      <c r="E20" s="27" t="str">
        <f>HYPERLINK("https://www.boe.es/gazeta/dias/1807/02/17/pdfs/GMD-1807-16.pdf","Abrir fascículo")</f>
        <v>Abrir fascículo</v>
      </c>
    </row>
    <row r="21" spans="1:5">
      <c r="A21" s="21">
        <v>17</v>
      </c>
      <c r="B21" s="18" t="s">
        <v>176</v>
      </c>
      <c r="C21" s="24" t="s">
        <v>11637</v>
      </c>
      <c r="D21" s="24">
        <v>41</v>
      </c>
      <c r="E21" s="27" t="str">
        <f>HYPERLINK("https://www.boe.es/gazeta/dias/1807/02/20/pdfs/GMD-1807-17.pdf","Abrir fascículo")</f>
        <v>Abrir fascículo</v>
      </c>
    </row>
    <row r="22" spans="1:5">
      <c r="A22" s="21">
        <v>18</v>
      </c>
      <c r="B22" s="18" t="s">
        <v>464</v>
      </c>
      <c r="C22" s="24" t="s">
        <v>11638</v>
      </c>
      <c r="D22" s="24">
        <v>76</v>
      </c>
      <c r="E22" s="27" t="str">
        <f>HYPERLINK("https://www.boe.es/gazeta/dias/1807/02/24/pdfs/GMD-1807-18.pdf","Abrir fascículo")</f>
        <v>Abrir fascículo</v>
      </c>
    </row>
    <row r="23" spans="1:5">
      <c r="A23" s="21">
        <v>19</v>
      </c>
      <c r="B23" s="18" t="s">
        <v>376</v>
      </c>
      <c r="C23" s="24" t="s">
        <v>11639</v>
      </c>
      <c r="D23" s="24">
        <v>49</v>
      </c>
      <c r="E23" s="27" t="str">
        <f>HYPERLINK("https://www.boe.es/gazeta/dias/1807/02/27/pdfs/GMD-1807-19.pdf","Abrir fascículo")</f>
        <v>Abrir fascículo</v>
      </c>
    </row>
    <row r="24" spans="1:5">
      <c r="A24" s="21" t="s">
        <v>525</v>
      </c>
      <c r="B24" s="18" t="s">
        <v>524</v>
      </c>
      <c r="C24" s="24" t="s">
        <v>11640</v>
      </c>
      <c r="D24" s="24">
        <v>6</v>
      </c>
      <c r="E24" s="27" t="str">
        <f>HYPERLINK("https://www.boe.es/gazeta/dias/1807/03/01/pdfs/GMD-1807-20E.pdf","Abrir extraordinaria")</f>
        <v>Abrir extraordinaria</v>
      </c>
    </row>
    <row r="25" spans="1:5">
      <c r="A25" s="21">
        <v>21</v>
      </c>
      <c r="B25" s="18" t="s">
        <v>346</v>
      </c>
      <c r="C25" s="24" t="s">
        <v>11641</v>
      </c>
      <c r="D25" s="24">
        <v>90</v>
      </c>
      <c r="E25" s="27" t="str">
        <f>HYPERLINK("https://www.boe.es/gazeta/dias/1807/03/03/pdfs/GMD-1807-21.pdf","Abrir fascículo")</f>
        <v>Abrir fascículo</v>
      </c>
    </row>
    <row r="26" spans="1:5">
      <c r="A26" s="21">
        <v>22</v>
      </c>
      <c r="B26" s="18" t="s">
        <v>94</v>
      </c>
      <c r="C26" s="24" t="s">
        <v>11642</v>
      </c>
      <c r="D26" s="24">
        <v>67</v>
      </c>
      <c r="E26" s="27" t="str">
        <f>HYPERLINK("https://www.boe.es/gazeta/dias/1807/03/06/pdfs/GMD-1807-22.pdf","Abrir fascículo")</f>
        <v>Abrir fascículo</v>
      </c>
    </row>
    <row r="27" spans="1:5">
      <c r="A27" s="21">
        <v>23</v>
      </c>
      <c r="B27" s="18" t="s">
        <v>101</v>
      </c>
      <c r="C27" s="24" t="s">
        <v>11643</v>
      </c>
      <c r="D27" s="24">
        <v>40</v>
      </c>
      <c r="E27" s="27" t="str">
        <f>HYPERLINK("https://www.boe.es/gazeta/dias/1807/03/10/pdfs/GMD-1807-23.pdf","Abrir fascículo")</f>
        <v>Abrir fascículo</v>
      </c>
    </row>
    <row r="28" spans="1:5">
      <c r="A28" s="21">
        <v>24</v>
      </c>
      <c r="B28" s="18" t="s">
        <v>390</v>
      </c>
      <c r="C28" s="24" t="s">
        <v>11644</v>
      </c>
      <c r="D28" s="24">
        <v>55</v>
      </c>
      <c r="E28" s="27" t="str">
        <f>HYPERLINK("https://www.boe.es/gazeta/dias/1807/03/13/pdfs/GMD-1807-24.pdf","Abrir fascículo")</f>
        <v>Abrir fascículo</v>
      </c>
    </row>
    <row r="29" spans="1:5">
      <c r="A29" s="21">
        <v>25</v>
      </c>
      <c r="B29" s="18" t="s">
        <v>104</v>
      </c>
      <c r="C29" s="24" t="s">
        <v>11645</v>
      </c>
      <c r="D29" s="24">
        <v>46</v>
      </c>
      <c r="E29" s="27" t="str">
        <f>HYPERLINK("https://www.boe.es/gazeta/dias/1807/03/17/pdfs/GMD-1807-25.pdf","Abrir fascículo")</f>
        <v>Abrir fascículo</v>
      </c>
    </row>
    <row r="30" spans="1:5">
      <c r="A30" s="21">
        <v>26</v>
      </c>
      <c r="B30" s="18" t="s">
        <v>40</v>
      </c>
      <c r="C30" s="24" t="s">
        <v>11646</v>
      </c>
      <c r="D30" s="24">
        <v>69</v>
      </c>
      <c r="E30" s="27" t="str">
        <f>HYPERLINK("https://www.boe.es/gazeta/dias/1807/03/20/pdfs/GMD-1807-26.pdf","Abrir fascículo")</f>
        <v>Abrir fascículo</v>
      </c>
    </row>
    <row r="31" spans="1:5">
      <c r="A31" s="21">
        <v>27</v>
      </c>
      <c r="B31" s="18" t="s">
        <v>3230</v>
      </c>
      <c r="C31" s="24" t="s">
        <v>11647</v>
      </c>
      <c r="D31" s="24">
        <v>20</v>
      </c>
      <c r="E31" s="27" t="str">
        <f>HYPERLINK("https://www.boe.es/gazeta/dias/1807/03/24/pdfs/GMD-1807-27.pdf","Abrir fascículo")</f>
        <v>Abrir fascículo</v>
      </c>
    </row>
    <row r="32" spans="1:5">
      <c r="A32" s="21">
        <v>28</v>
      </c>
      <c r="B32" s="18" t="s">
        <v>131</v>
      </c>
      <c r="C32" s="24" t="s">
        <v>11648</v>
      </c>
      <c r="D32" s="24">
        <v>33</v>
      </c>
      <c r="E32" s="27" t="str">
        <f>HYPERLINK("https://www.boe.es/gazeta/dias/1807/03/27/pdfs/GMD-1807-28.pdf","Abrir fascículo")</f>
        <v>Abrir fascículo</v>
      </c>
    </row>
    <row r="33" spans="1:5">
      <c r="A33" s="21">
        <v>29</v>
      </c>
      <c r="B33" s="18" t="s">
        <v>2914</v>
      </c>
      <c r="C33" s="24" t="s">
        <v>11649</v>
      </c>
      <c r="D33" s="24">
        <v>18</v>
      </c>
      <c r="E33" s="27" t="str">
        <f>HYPERLINK("https://www.boe.es/gazeta/dias/1807/03/31/pdfs/GMD-1807-29.pdf","Abrir fascículo")</f>
        <v>Abrir fascículo</v>
      </c>
    </row>
    <row r="34" spans="1:5">
      <c r="A34" s="21">
        <v>30</v>
      </c>
      <c r="B34" s="18" t="s">
        <v>478</v>
      </c>
      <c r="C34" s="24" t="s">
        <v>11650</v>
      </c>
      <c r="D34" s="24">
        <v>37</v>
      </c>
      <c r="E34" s="27" t="str">
        <f>HYPERLINK("https://www.boe.es/gazeta/dias/1807/04/03/pdfs/GMD-1807-30.pdf","Abrir fascículo")</f>
        <v>Abrir fascículo</v>
      </c>
    </row>
    <row r="35" spans="1:5">
      <c r="A35" s="21">
        <v>31</v>
      </c>
      <c r="B35" s="18" t="s">
        <v>42</v>
      </c>
      <c r="C35" s="24" t="s">
        <v>11651</v>
      </c>
      <c r="D35" s="24">
        <v>70</v>
      </c>
      <c r="E35" s="27" t="str">
        <f>HYPERLINK("https://www.boe.es/gazeta/dias/1807/04/07/pdfs/GMD-1807-31.pdf","Abrir fascículo")</f>
        <v>Abrir fascículo</v>
      </c>
    </row>
    <row r="36" spans="1:5">
      <c r="A36" s="21">
        <v>32</v>
      </c>
      <c r="B36" s="18" t="s">
        <v>498</v>
      </c>
      <c r="C36" s="24" t="s">
        <v>11652</v>
      </c>
      <c r="D36" s="24">
        <v>19</v>
      </c>
      <c r="E36" s="27" t="str">
        <f>HYPERLINK("https://www.boe.es/gazeta/dias/1807/04/10/pdfs/GMD-1807-32.pdf","Abrir fascículo")</f>
        <v>Abrir fascículo</v>
      </c>
    </row>
    <row r="37" spans="1:5">
      <c r="A37" s="21">
        <v>33</v>
      </c>
      <c r="B37" s="18" t="s">
        <v>422</v>
      </c>
      <c r="C37" s="24" t="s">
        <v>11653</v>
      </c>
      <c r="D37" s="24">
        <v>28</v>
      </c>
      <c r="E37" s="27" t="str">
        <f>HYPERLINK("https://www.boe.es/gazeta/dias/1807/04/14/pdfs/GMD-1807-33.pdf","Abrir fascículo")</f>
        <v>Abrir fascículo</v>
      </c>
    </row>
    <row r="38" spans="1:5">
      <c r="A38" s="21">
        <v>34</v>
      </c>
      <c r="B38" s="18" t="s">
        <v>98</v>
      </c>
      <c r="C38" s="24" t="s">
        <v>11654</v>
      </c>
      <c r="D38" s="24">
        <v>83</v>
      </c>
      <c r="E38" s="27" t="str">
        <f>HYPERLINK("https://www.boe.es/gazeta/dias/1807/04/17/pdfs/GMD-1807-34.pdf","Abrir fascículo")</f>
        <v>Abrir fascículo</v>
      </c>
    </row>
    <row r="39" spans="1:5">
      <c r="A39" s="21">
        <v>35</v>
      </c>
      <c r="B39" s="18" t="s">
        <v>71</v>
      </c>
      <c r="C39" s="24" t="s">
        <v>11655</v>
      </c>
      <c r="D39" s="24">
        <v>25</v>
      </c>
      <c r="E39" s="27" t="str">
        <f>HYPERLINK("https://www.boe.es/gazeta/dias/1807/04/21/pdfs/GMD-1807-35.pdf","Abrir fascículo")</f>
        <v>Abrir fascículo</v>
      </c>
    </row>
    <row r="40" spans="1:5">
      <c r="A40" s="21" t="s">
        <v>11656</v>
      </c>
      <c r="B40" s="18" t="s">
        <v>71</v>
      </c>
      <c r="C40" s="24" t="s">
        <v>11657</v>
      </c>
      <c r="D40" s="24">
        <v>56</v>
      </c>
      <c r="E40" s="27" t="str">
        <f>HYPERLINK("https://www.boe.es/gazeta/dias/1807/04/21/pdfs/C00001-00004.pdf","Abrir suplemento")</f>
        <v>Abrir suplemento</v>
      </c>
    </row>
    <row r="41" spans="1:5">
      <c r="A41" s="21">
        <v>36</v>
      </c>
      <c r="B41" s="18" t="s">
        <v>36</v>
      </c>
      <c r="C41" s="24" t="s">
        <v>11658</v>
      </c>
      <c r="D41" s="24">
        <v>42</v>
      </c>
      <c r="E41" s="27" t="str">
        <f>HYPERLINK("https://www.boe.es/gazeta/dias/1807/04/24/pdfs/GMD-1807-36.pdf","Abrir fascículo")</f>
        <v>Abrir fascículo</v>
      </c>
    </row>
    <row r="42" spans="1:5">
      <c r="A42" s="21">
        <v>37</v>
      </c>
      <c r="B42" s="18" t="s">
        <v>190</v>
      </c>
      <c r="C42" s="24" t="s">
        <v>11659</v>
      </c>
      <c r="D42" s="24">
        <v>35</v>
      </c>
      <c r="E42" s="27" t="str">
        <f>HYPERLINK("https://www.boe.es/gazeta/dias/1807/04/28/pdfs/GMD-1807-37.pdf","Abrir fascículo")</f>
        <v>Abrir fascículo</v>
      </c>
    </row>
    <row r="43" spans="1:5">
      <c r="A43" s="21">
        <v>38</v>
      </c>
      <c r="B43" s="18" t="s">
        <v>149</v>
      </c>
      <c r="C43" s="24" t="s">
        <v>11660</v>
      </c>
      <c r="D43" s="24">
        <v>47</v>
      </c>
      <c r="E43" s="27" t="str">
        <f>HYPERLINK("https://www.boe.es/gazeta/dias/1807/05/01/pdfs/GMD-1807-38.pdf","Abrir fascículo")</f>
        <v>Abrir fascículo</v>
      </c>
    </row>
    <row r="44" spans="1:5">
      <c r="A44" s="21" t="s">
        <v>11661</v>
      </c>
      <c r="B44" s="18" t="s">
        <v>149</v>
      </c>
      <c r="C44" s="24" t="s">
        <v>11662</v>
      </c>
      <c r="D44" s="24">
        <v>0</v>
      </c>
      <c r="E44" s="27" t="str">
        <f>HYPERLINK("https://www.boe.es/gazeta/dias/1807/05/01/pdfs/C00457-00458.pdf","Abrir suplemento")</f>
        <v>Abrir suplemento</v>
      </c>
    </row>
    <row r="45" spans="1:5">
      <c r="A45" s="21">
        <v>39</v>
      </c>
      <c r="B45" s="18" t="s">
        <v>106</v>
      </c>
      <c r="C45" s="24" t="s">
        <v>11663</v>
      </c>
      <c r="D45" s="24">
        <v>35</v>
      </c>
      <c r="E45" s="27" t="str">
        <f>HYPERLINK("https://www.boe.es/gazeta/dias/1807/05/05/pdfs/GMD-1807-39.pdf","Abrir fascículo")</f>
        <v>Abrir fascículo</v>
      </c>
    </row>
    <row r="46" spans="1:5">
      <c r="A46" s="21">
        <v>40</v>
      </c>
      <c r="B46" s="18" t="s">
        <v>414</v>
      </c>
      <c r="C46" s="24" t="s">
        <v>11664</v>
      </c>
      <c r="D46" s="24">
        <v>37</v>
      </c>
      <c r="E46" s="27" t="str">
        <f>HYPERLINK("https://www.boe.es/gazeta/dias/1807/05/08/pdfs/GMD-1807-40.pdf","Abrir fascículo")</f>
        <v>Abrir fascículo</v>
      </c>
    </row>
    <row r="47" spans="1:5">
      <c r="A47" s="21">
        <v>41</v>
      </c>
      <c r="B47" s="18" t="s">
        <v>19</v>
      </c>
      <c r="C47" s="24" t="s">
        <v>11665</v>
      </c>
      <c r="D47" s="24">
        <v>53</v>
      </c>
      <c r="E47" s="27" t="str">
        <f>HYPERLINK("https://www.boe.es/gazeta/dias/1807/05/12/pdfs/GMD-1807-41.pdf","Abrir fascículo")</f>
        <v>Abrir fascículo</v>
      </c>
    </row>
    <row r="48" spans="1:5">
      <c r="A48" s="21">
        <v>42</v>
      </c>
      <c r="B48" s="18" t="s">
        <v>208</v>
      </c>
      <c r="C48" s="24" t="s">
        <v>11666</v>
      </c>
      <c r="D48" s="24">
        <v>83</v>
      </c>
      <c r="E48" s="27" t="str">
        <f>HYPERLINK("https://www.boe.es/gazeta/dias/1807/05/15/pdfs/GMD-1807-42.pdf","Abrir fascículo")</f>
        <v>Abrir fascículo</v>
      </c>
    </row>
    <row r="49" spans="1:5">
      <c r="A49" s="21">
        <v>43</v>
      </c>
      <c r="B49" s="18" t="s">
        <v>666</v>
      </c>
      <c r="C49" s="24" t="s">
        <v>11667</v>
      </c>
      <c r="D49" s="24">
        <v>53</v>
      </c>
      <c r="E49" s="27" t="str">
        <f>HYPERLINK("https://www.boe.es/gazeta/dias/1807/05/19/pdfs/GMD-1807-43.pdf","Abrir fascículo")</f>
        <v>Abrir fascículo</v>
      </c>
    </row>
    <row r="50" spans="1:5">
      <c r="A50" s="21">
        <v>44</v>
      </c>
      <c r="B50" s="18" t="s">
        <v>561</v>
      </c>
      <c r="C50" s="24" t="s">
        <v>11668</v>
      </c>
      <c r="D50" s="24">
        <v>45</v>
      </c>
      <c r="E50" s="27" t="str">
        <f>HYPERLINK("https://www.boe.es/gazeta/dias/1807/05/22/pdfs/GMD-1807-44.pdf","Abrir fascículo")</f>
        <v>Abrir fascículo</v>
      </c>
    </row>
    <row r="51" spans="1:5">
      <c r="A51" s="21" t="s">
        <v>11669</v>
      </c>
      <c r="B51" s="18" t="s">
        <v>561</v>
      </c>
      <c r="C51" s="24" t="s">
        <v>11670</v>
      </c>
      <c r="D51" s="24">
        <v>3</v>
      </c>
      <c r="E51" s="27" t="str">
        <f>HYPERLINK("https://www.boe.es/gazeta/dias/1807/05/22/pdfs/GMD-C-1807-44.pdf","Abrir suplemento")</f>
        <v>Abrir suplemento</v>
      </c>
    </row>
    <row r="52" spans="1:5">
      <c r="A52" s="21">
        <v>45</v>
      </c>
      <c r="B52" s="18" t="s">
        <v>25</v>
      </c>
      <c r="C52" s="24" t="s">
        <v>11671</v>
      </c>
      <c r="D52" s="24">
        <v>48</v>
      </c>
      <c r="E52" s="27" t="str">
        <f>HYPERLINK("https://www.boe.es/gazeta/dias/1807/05/26/pdfs/GMD-1807-45.pdf","Abrir fascículo")</f>
        <v>Abrir fascículo</v>
      </c>
    </row>
    <row r="53" spans="1:5">
      <c r="A53" s="21">
        <v>46</v>
      </c>
      <c r="B53" s="18" t="s">
        <v>114</v>
      </c>
      <c r="C53" s="24" t="s">
        <v>11672</v>
      </c>
      <c r="D53" s="24">
        <v>45</v>
      </c>
      <c r="E53" s="27" t="str">
        <f>HYPERLINK("https://www.boe.es/gazeta/dias/1807/05/29/pdfs/GMD-1807-46.pdf","Abrir fascículo")</f>
        <v>Abrir fascículo</v>
      </c>
    </row>
    <row r="54" spans="1:5">
      <c r="A54" s="21">
        <v>47</v>
      </c>
      <c r="B54" s="18" t="s">
        <v>505</v>
      </c>
      <c r="C54" s="24" t="s">
        <v>11673</v>
      </c>
      <c r="D54" s="24">
        <v>22</v>
      </c>
      <c r="E54" s="27" t="str">
        <f>HYPERLINK("https://www.boe.es/gazeta/dias/1807/06/02/pdfs/GMD-1807-47.pdf","Abrir fascículo")</f>
        <v>Abrir fascículo</v>
      </c>
    </row>
    <row r="55" spans="1:5">
      <c r="A55" s="21">
        <v>48</v>
      </c>
      <c r="B55" s="18" t="s">
        <v>507</v>
      </c>
      <c r="C55" s="24" t="s">
        <v>11674</v>
      </c>
      <c r="D55" s="24">
        <v>38</v>
      </c>
      <c r="E55" s="27" t="str">
        <f>HYPERLINK("https://www.boe.es/gazeta/dias/1807/06/05/pdfs/GMD-1807-48.pdf","Abrir fascículo")</f>
        <v>Abrir fascículo</v>
      </c>
    </row>
    <row r="56" spans="1:5">
      <c r="A56" s="21">
        <v>49</v>
      </c>
      <c r="B56" s="18" t="s">
        <v>81</v>
      </c>
      <c r="C56" s="24" t="s">
        <v>11675</v>
      </c>
      <c r="D56" s="24">
        <v>25</v>
      </c>
      <c r="E56" s="27" t="str">
        <f>HYPERLINK("https://www.boe.es/gazeta/dias/1807/06/09/pdfs/GMD-1807-49.pdf","Abrir fascículo")</f>
        <v>Abrir fascículo</v>
      </c>
    </row>
    <row r="57" spans="1:5">
      <c r="A57" s="21">
        <v>50</v>
      </c>
      <c r="B57" s="18" t="s">
        <v>83</v>
      </c>
      <c r="C57" s="24" t="s">
        <v>11676</v>
      </c>
      <c r="D57" s="24">
        <v>39</v>
      </c>
      <c r="E57" s="27" t="str">
        <f>HYPERLINK("https://www.boe.es/gazeta/dias/1807/06/12/pdfs/GMD-1807-50.pdf","Abrir fascículo")</f>
        <v>Abrir fascículo</v>
      </c>
    </row>
    <row r="58" spans="1:5">
      <c r="A58" s="21">
        <v>51</v>
      </c>
      <c r="B58" s="18" t="s">
        <v>471</v>
      </c>
      <c r="C58" s="24" t="s">
        <v>11677</v>
      </c>
      <c r="D58" s="24">
        <v>85</v>
      </c>
      <c r="E58" s="27" t="str">
        <f>HYPERLINK("https://www.boe.es/gazeta/dias/1807/06/16/pdfs/GMD-1807-51.pdf","Abrir fascículo")</f>
        <v>Abrir fascículo</v>
      </c>
    </row>
    <row r="59" spans="1:5">
      <c r="A59" s="21">
        <v>52</v>
      </c>
      <c r="B59" s="18" t="s">
        <v>65</v>
      </c>
      <c r="C59" s="24" t="s">
        <v>11678</v>
      </c>
      <c r="D59" s="24">
        <v>65</v>
      </c>
      <c r="E59" s="27" t="str">
        <f>HYPERLINK("https://www.boe.es/gazeta/dias/1807/06/19/pdfs/GMD-1807-52.pdf","Abrir fascículo")</f>
        <v>Abrir fascículo</v>
      </c>
    </row>
    <row r="60" spans="1:5">
      <c r="A60" s="21">
        <v>53</v>
      </c>
      <c r="B60" s="18" t="s">
        <v>305</v>
      </c>
      <c r="C60" s="24" t="s">
        <v>11679</v>
      </c>
      <c r="D60" s="24">
        <v>50</v>
      </c>
      <c r="E60" s="27" t="str">
        <f>HYPERLINK("https://www.boe.es/gazeta/dias/1807/06/23/pdfs/GMD-1807-53.pdf","Abrir fascículo")</f>
        <v>Abrir fascículo</v>
      </c>
    </row>
    <row r="61" spans="1:5">
      <c r="A61" s="21">
        <v>54</v>
      </c>
      <c r="B61" s="18" t="s">
        <v>319</v>
      </c>
      <c r="C61" s="24" t="s">
        <v>11680</v>
      </c>
      <c r="D61" s="24">
        <v>65</v>
      </c>
      <c r="E61" s="27" t="str">
        <f>HYPERLINK("https://www.boe.es/gazeta/dias/1807/06/26/pdfs/GMD-1807-54.pdf","Abrir fascículo")</f>
        <v>Abrir fascículo</v>
      </c>
    </row>
    <row r="62" spans="1:5">
      <c r="A62" s="21">
        <v>55</v>
      </c>
      <c r="B62" s="18" t="s">
        <v>567</v>
      </c>
      <c r="C62" s="24" t="s">
        <v>11681</v>
      </c>
      <c r="D62" s="24">
        <v>28</v>
      </c>
      <c r="E62" s="27" t="str">
        <f>HYPERLINK("https://www.boe.es/gazeta/dias/1807/06/30/pdfs/GMD-1807-55.pdf","Abrir fascículo")</f>
        <v>Abrir fascículo</v>
      </c>
    </row>
    <row r="63" spans="1:5">
      <c r="A63" s="21">
        <v>56</v>
      </c>
      <c r="B63" s="18" t="s">
        <v>219</v>
      </c>
      <c r="C63" s="24" t="s">
        <v>11682</v>
      </c>
      <c r="D63" s="24">
        <v>31</v>
      </c>
      <c r="E63" s="27" t="str">
        <f>HYPERLINK("https://www.boe.es/gazeta/dias/1807/07/03/pdfs/GMD-1807-56.pdf","Abrir fascículo")</f>
        <v>Abrir fascículo</v>
      </c>
    </row>
    <row r="64" spans="1:5">
      <c r="A64" s="21" t="s">
        <v>1188</v>
      </c>
      <c r="B64" s="18" t="s">
        <v>1187</v>
      </c>
      <c r="C64" s="24" t="s">
        <v>11683</v>
      </c>
      <c r="D64" s="24">
        <v>7</v>
      </c>
      <c r="E64" s="27" t="str">
        <f>HYPERLINK("https://www.boe.es/gazeta/dias/1807/07/04/pdfs/GMD-1807-57E.pdf","Abrir extraordinaria")</f>
        <v>Abrir extraordinaria</v>
      </c>
    </row>
    <row r="65" spans="1:5">
      <c r="A65" s="21">
        <v>58</v>
      </c>
      <c r="B65" s="18" t="s">
        <v>109</v>
      </c>
      <c r="C65" s="24" t="s">
        <v>11684</v>
      </c>
      <c r="D65" s="24">
        <v>47</v>
      </c>
      <c r="E65" s="27" t="str">
        <f>HYPERLINK("https://www.boe.es/gazeta/dias/1807/07/07/pdfs/GMD-1807-58.pdf","Abrir fascículo")</f>
        <v>Abrir fascículo</v>
      </c>
    </row>
    <row r="66" spans="1:5">
      <c r="A66" s="21">
        <v>59</v>
      </c>
      <c r="B66" s="18" t="s">
        <v>595</v>
      </c>
      <c r="C66" s="24" t="s">
        <v>11685</v>
      </c>
      <c r="D66" s="24">
        <v>72</v>
      </c>
      <c r="E66" s="27" t="str">
        <f>HYPERLINK("https://www.boe.es/gazeta/dias/1807/07/10/pdfs/GMD-1807-59.pdf","Abrir fascículo")</f>
        <v>Abrir fascículo</v>
      </c>
    </row>
    <row r="67" spans="1:5">
      <c r="A67" s="21" t="s">
        <v>4687</v>
      </c>
      <c r="B67" s="18" t="s">
        <v>4686</v>
      </c>
      <c r="C67" s="24" t="s">
        <v>11686</v>
      </c>
      <c r="D67" s="24">
        <v>6</v>
      </c>
      <c r="E67" s="27" t="str">
        <f>HYPERLINK("https://www.boe.es/gazeta/dias/1807/07/13/pdfs/GMD-1807-60E.pdf","Abrir extraordinaria")</f>
        <v>Abrir extraordinaria</v>
      </c>
    </row>
    <row r="68" spans="1:5">
      <c r="A68" s="21">
        <v>61</v>
      </c>
      <c r="B68" s="18" t="s">
        <v>152</v>
      </c>
      <c r="C68" s="24" t="s">
        <v>11687</v>
      </c>
      <c r="D68" s="24">
        <v>63</v>
      </c>
      <c r="E68" s="27" t="str">
        <f>HYPERLINK("https://www.boe.es/gazeta/dias/1807/07/14/pdfs/GMD-1807-61.pdf","Abrir fascículo")</f>
        <v>Abrir fascículo</v>
      </c>
    </row>
    <row r="69" spans="1:5">
      <c r="A69" s="21">
        <v>62</v>
      </c>
      <c r="B69" s="18" t="s">
        <v>51</v>
      </c>
      <c r="C69" s="24" t="s">
        <v>11688</v>
      </c>
      <c r="D69" s="24">
        <v>44</v>
      </c>
      <c r="E69" s="27" t="str">
        <f>HYPERLINK("https://www.boe.es/gazeta/dias/1807/07/17/pdfs/GMD-1807-62.pdf","Abrir fascículo")</f>
        <v>Abrir fascículo</v>
      </c>
    </row>
    <row r="70" spans="1:5">
      <c r="A70" s="21" t="s">
        <v>1960</v>
      </c>
      <c r="B70" s="18" t="s">
        <v>1959</v>
      </c>
      <c r="C70" s="24" t="s">
        <v>11689</v>
      </c>
      <c r="D70" s="24">
        <v>7</v>
      </c>
      <c r="E70" s="27" t="str">
        <f>HYPERLINK("https://www.boe.es/gazeta/dias/1807/07/18/pdfs/GMD-1807-63E.pdf","Abrir extraordinaria")</f>
        <v>Abrir extraordinaria</v>
      </c>
    </row>
    <row r="71" spans="1:5">
      <c r="A71" s="21">
        <v>64</v>
      </c>
      <c r="B71" s="18" t="s">
        <v>53</v>
      </c>
      <c r="C71" s="24" t="s">
        <v>11690</v>
      </c>
      <c r="D71" s="24">
        <v>62</v>
      </c>
      <c r="E71" s="27" t="str">
        <f>HYPERLINK("https://www.boe.es/gazeta/dias/1807/07/21/pdfs/GMD-1807-64.pdf","Abrir fascículo")</f>
        <v>Abrir fascículo</v>
      </c>
    </row>
    <row r="72" spans="1:5">
      <c r="A72" s="21">
        <v>65</v>
      </c>
      <c r="B72" s="18" t="s">
        <v>447</v>
      </c>
      <c r="C72" s="24" t="s">
        <v>11691</v>
      </c>
      <c r="D72" s="24">
        <v>28</v>
      </c>
      <c r="E72" s="27" t="str">
        <f>HYPERLINK("https://www.boe.es/gazeta/dias/1807/07/24/pdfs/GMD-1807-65.pdf","Abrir fascículo")</f>
        <v>Abrir fascículo</v>
      </c>
    </row>
    <row r="73" spans="1:5">
      <c r="A73" s="21" t="s">
        <v>1963</v>
      </c>
      <c r="B73" s="18" t="s">
        <v>1962</v>
      </c>
      <c r="C73" s="24" t="s">
        <v>11692</v>
      </c>
      <c r="D73" s="24">
        <v>3</v>
      </c>
      <c r="E73" s="27" t="str">
        <f>HYPERLINK("https://www.boe.es/gazeta/dias/1807/07/26/pdfs/GMD-1807-66E.pdf","Abrir extraordinaria")</f>
        <v>Abrir extraordinaria</v>
      </c>
    </row>
    <row r="74" spans="1:5">
      <c r="A74" s="21">
        <v>67</v>
      </c>
      <c r="B74" s="18" t="s">
        <v>266</v>
      </c>
      <c r="C74" s="24" t="s">
        <v>11693</v>
      </c>
      <c r="D74" s="24">
        <v>52</v>
      </c>
      <c r="E74" s="27" t="str">
        <f>HYPERLINK("https://www.boe.es/gazeta/dias/1807/07/28/pdfs/GMD-1807-67.pdf","Abrir fascículo")</f>
        <v>Abrir fascículo</v>
      </c>
    </row>
    <row r="75" spans="1:5">
      <c r="A75" s="21">
        <v>68</v>
      </c>
      <c r="B75" s="18" t="s">
        <v>62</v>
      </c>
      <c r="C75" s="24" t="s">
        <v>11694</v>
      </c>
      <c r="D75" s="24">
        <v>57</v>
      </c>
      <c r="E75" s="27" t="str">
        <f>HYPERLINK("https://www.boe.es/gazeta/dias/1807/07/31/pdfs/GMD-1807-68.pdf","Abrir fascículo")</f>
        <v>Abrir fascículo</v>
      </c>
    </row>
    <row r="76" spans="1:5">
      <c r="A76" s="21" t="s">
        <v>255</v>
      </c>
      <c r="B76" s="18" t="s">
        <v>254</v>
      </c>
      <c r="C76" s="24" t="s">
        <v>11695</v>
      </c>
      <c r="D76" s="24">
        <v>7</v>
      </c>
      <c r="E76" s="27" t="str">
        <f>HYPERLINK("https://www.boe.es/gazeta/dias/1807/08/02/pdfs/GMD-1807-69E.pdf","Abrir extraordinaria")</f>
        <v>Abrir extraordinaria</v>
      </c>
    </row>
    <row r="77" spans="1:5">
      <c r="A77" s="21">
        <v>70</v>
      </c>
      <c r="B77" s="18" t="s">
        <v>123</v>
      </c>
      <c r="C77" s="24" t="s">
        <v>11696</v>
      </c>
      <c r="D77" s="24">
        <v>57</v>
      </c>
      <c r="E77" s="27" t="str">
        <f>HYPERLINK("https://www.boe.es/gazeta/dias/1807/08/04/pdfs/GMD-1807-70.pdf","Abrir fascículo")</f>
        <v>Abrir fascículo</v>
      </c>
    </row>
    <row r="78" spans="1:5">
      <c r="A78" s="21">
        <v>71</v>
      </c>
      <c r="B78" s="18" t="s">
        <v>581</v>
      </c>
      <c r="C78" s="24" t="s">
        <v>11697</v>
      </c>
      <c r="D78" s="24">
        <v>38</v>
      </c>
      <c r="E78" s="27" t="str">
        <f>HYPERLINK("https://www.boe.es/gazeta/dias/1807/08/07/pdfs/GMD-1807-71.pdf","Abrir fascículo")</f>
        <v>Abrir fascículo</v>
      </c>
    </row>
    <row r="79" spans="1:5">
      <c r="A79" s="21">
        <v>72</v>
      </c>
      <c r="B79" s="18" t="s">
        <v>186</v>
      </c>
      <c r="C79" s="24" t="s">
        <v>11698</v>
      </c>
      <c r="D79" s="24">
        <v>61</v>
      </c>
      <c r="E79" s="27" t="str">
        <f>HYPERLINK("https://www.boe.es/gazeta/dias/1807/08/11/pdfs/GMD-1807-72.pdf","Abrir fascículo")</f>
        <v>Abrir fascículo</v>
      </c>
    </row>
    <row r="80" spans="1:5">
      <c r="A80" s="21">
        <v>73</v>
      </c>
      <c r="B80" s="18" t="s">
        <v>221</v>
      </c>
      <c r="C80" s="24" t="s">
        <v>11699</v>
      </c>
      <c r="D80" s="24">
        <v>72</v>
      </c>
      <c r="E80" s="27" t="str">
        <f>HYPERLINK("https://www.boe.es/gazeta/dias/1807/08/14/pdfs/GMD-1807-73.pdf","Abrir fascículo")</f>
        <v>Abrir fascículo</v>
      </c>
    </row>
    <row r="81" spans="1:5">
      <c r="A81" s="21">
        <v>74</v>
      </c>
      <c r="B81" s="18" t="s">
        <v>156</v>
      </c>
      <c r="C81" s="24" t="s">
        <v>11700</v>
      </c>
      <c r="D81" s="24">
        <v>75</v>
      </c>
      <c r="E81" s="27" t="str">
        <f>HYPERLINK("https://www.boe.es/gazeta/dias/1807/08/18/pdfs/GMD-1807-74.pdf","Abrir fascículo")</f>
        <v>Abrir fascículo</v>
      </c>
    </row>
    <row r="82" spans="1:5">
      <c r="A82" s="21">
        <v>75</v>
      </c>
      <c r="B82" s="18" t="s">
        <v>321</v>
      </c>
      <c r="C82" s="24" t="s">
        <v>11701</v>
      </c>
      <c r="D82" s="24">
        <v>41</v>
      </c>
      <c r="E82" s="27" t="str">
        <f>HYPERLINK("https://www.boe.es/gazeta/dias/1807/08/21/pdfs/GMD-1807-75.pdf","Abrir fascículo")</f>
        <v>Abrir fascículo</v>
      </c>
    </row>
    <row r="83" spans="1:5">
      <c r="A83" s="21">
        <v>76</v>
      </c>
      <c r="B83" s="18" t="s">
        <v>241</v>
      </c>
      <c r="C83" s="24" t="s">
        <v>11702</v>
      </c>
      <c r="D83" s="24">
        <v>25</v>
      </c>
      <c r="E83" s="27" t="str">
        <f>HYPERLINK("https://www.boe.es/gazeta/dias/1807/08/25/pdfs/GMD-1807-76.pdf","Abrir fascículo")</f>
        <v>Abrir fascículo</v>
      </c>
    </row>
    <row r="84" spans="1:5">
      <c r="A84" s="21">
        <v>77</v>
      </c>
      <c r="B84" s="18" t="s">
        <v>167</v>
      </c>
      <c r="C84" s="24" t="s">
        <v>11703</v>
      </c>
      <c r="D84" s="24">
        <v>58</v>
      </c>
      <c r="E84" s="27" t="str">
        <f>HYPERLINK("https://www.boe.es/gazeta/dias/1807/08/28/pdfs/GMD-1807-77.pdf","Abrir fascículo")</f>
        <v>Abrir fascículo</v>
      </c>
    </row>
    <row r="85" spans="1:5">
      <c r="A85" s="21">
        <v>78</v>
      </c>
      <c r="B85" s="18" t="s">
        <v>46</v>
      </c>
      <c r="C85" s="24" t="s">
        <v>11704</v>
      </c>
      <c r="D85" s="24">
        <v>67</v>
      </c>
      <c r="E85" s="27" t="str">
        <f>HYPERLINK("https://www.boe.es/gazeta/dias/1807/09/01/pdfs/GMD-1807-78.pdf","Abrir fascículo")</f>
        <v>Abrir fascículo</v>
      </c>
    </row>
    <row r="86" spans="1:5">
      <c r="A86" s="21">
        <v>79</v>
      </c>
      <c r="B86" s="18" t="s">
        <v>530</v>
      </c>
      <c r="C86" s="24" t="s">
        <v>11705</v>
      </c>
      <c r="D86" s="24">
        <v>61</v>
      </c>
      <c r="E86" s="27" t="str">
        <f>HYPERLINK("https://www.boe.es/gazeta/dias/1807/09/04/pdfs/GMD-1807-79.pdf","Abrir fascículo")</f>
        <v>Abrir fascículo</v>
      </c>
    </row>
    <row r="87" spans="1:5">
      <c r="A87" s="21">
        <v>80</v>
      </c>
      <c r="B87" s="18" t="s">
        <v>135</v>
      </c>
      <c r="C87" s="24" t="s">
        <v>11706</v>
      </c>
      <c r="D87" s="24">
        <v>44</v>
      </c>
      <c r="E87" s="27" t="str">
        <f>HYPERLINK("https://www.boe.es/gazeta/dias/1807/09/08/pdfs/GMD-1807-80.pdf","Abrir fascículo")</f>
        <v>Abrir fascículo</v>
      </c>
    </row>
    <row r="88" spans="1:5">
      <c r="A88" s="21">
        <v>81</v>
      </c>
      <c r="B88" s="18" t="s">
        <v>127</v>
      </c>
      <c r="C88" s="24" t="s">
        <v>11707</v>
      </c>
      <c r="D88" s="24">
        <v>39</v>
      </c>
      <c r="E88" s="27" t="str">
        <f>HYPERLINK("https://www.boe.es/gazeta/dias/1807/09/11/pdfs/GMD-1807-81.pdf","Abrir fascículo")</f>
        <v>Abrir fascículo</v>
      </c>
    </row>
    <row r="89" spans="1:5">
      <c r="A89" s="21">
        <v>82</v>
      </c>
      <c r="B89" s="18" t="s">
        <v>406</v>
      </c>
      <c r="C89" s="24" t="s">
        <v>11708</v>
      </c>
      <c r="D89" s="24">
        <v>44</v>
      </c>
      <c r="E89" s="27" t="str">
        <f>HYPERLINK("https://www.boe.es/gazeta/dias/1807/09/15/pdfs/GMD-1807-82.pdf","Abrir fascículo")</f>
        <v>Abrir fascículo</v>
      </c>
    </row>
    <row r="90" spans="1:5">
      <c r="A90" s="21">
        <v>83</v>
      </c>
      <c r="B90" s="18" t="s">
        <v>1354</v>
      </c>
      <c r="C90" s="24" t="s">
        <v>11709</v>
      </c>
      <c r="D90" s="24">
        <v>42</v>
      </c>
      <c r="E90" s="27" t="str">
        <f>HYPERLINK("https://www.boe.es/gazeta/dias/1807/09/18/pdfs/GMD-1807-83.pdf","Abrir fascículo")</f>
        <v>Abrir fascículo</v>
      </c>
    </row>
    <row r="91" spans="1:5">
      <c r="A91" s="21">
        <v>84</v>
      </c>
      <c r="B91" s="18" t="s">
        <v>620</v>
      </c>
      <c r="C91" s="24" t="s">
        <v>11710</v>
      </c>
      <c r="D91" s="24">
        <v>51</v>
      </c>
      <c r="E91" s="27" t="str">
        <f>HYPERLINK("https://www.boe.es/gazeta/dias/1807/09/22/pdfs/GMD-1807-84.pdf","Abrir fascículo")</f>
        <v>Abrir fascículo</v>
      </c>
    </row>
    <row r="92" spans="1:5">
      <c r="A92" s="21">
        <v>85</v>
      </c>
      <c r="B92" s="18" t="s">
        <v>929</v>
      </c>
      <c r="C92" s="24" t="s">
        <v>11711</v>
      </c>
      <c r="D92" s="24">
        <v>16</v>
      </c>
      <c r="E92" s="27" t="str">
        <f>HYPERLINK("https://www.boe.es/gazeta/dias/1807/09/25/pdfs/GMD-1807-85.pdf","Abrir fascículo")</f>
        <v>Abrir fascículo</v>
      </c>
    </row>
    <row r="93" spans="1:5">
      <c r="A93" s="21" t="s">
        <v>616</v>
      </c>
      <c r="B93" s="18" t="s">
        <v>615</v>
      </c>
      <c r="C93" s="24" t="s">
        <v>11712</v>
      </c>
      <c r="D93" s="24">
        <v>12</v>
      </c>
      <c r="E93" s="27" t="str">
        <f>HYPERLINK("https://www.boe.es/gazeta/dias/1807/09/27/pdfs/GMD-1807-86E.pdf","Abrir extraordinaria")</f>
        <v>Abrir extraordinaria</v>
      </c>
    </row>
    <row r="94" spans="1:5">
      <c r="A94" s="21">
        <v>87</v>
      </c>
      <c r="B94" s="18" t="s">
        <v>793</v>
      </c>
      <c r="C94" s="24" t="s">
        <v>11713</v>
      </c>
      <c r="D94" s="24">
        <v>19</v>
      </c>
      <c r="E94" s="27" t="str">
        <f>HYPERLINK("https://www.boe.es/gazeta/dias/1807/09/29/pdfs/GMD-1807-87.pdf","Abrir fascículo")</f>
        <v>Abrir fascículo</v>
      </c>
    </row>
    <row r="95" spans="1:5">
      <c r="A95" s="21" t="s">
        <v>11714</v>
      </c>
      <c r="B95" s="18" t="s">
        <v>793</v>
      </c>
      <c r="C95" s="24" t="s">
        <v>11715</v>
      </c>
      <c r="D95" s="24">
        <v>0</v>
      </c>
      <c r="E95" s="27" t="str">
        <f>HYPERLINK("https://www.boe.es/gazeta/dias/1807/09/29/pdfs/GMD-C-1807-87.pdf","Abrir suplemento")</f>
        <v>Abrir suplemento</v>
      </c>
    </row>
    <row r="96" spans="1:5">
      <c r="A96" s="21" t="s">
        <v>4787</v>
      </c>
      <c r="B96" s="18" t="s">
        <v>4786</v>
      </c>
      <c r="C96" s="24" t="s">
        <v>11716</v>
      </c>
      <c r="D96" s="24">
        <v>9</v>
      </c>
      <c r="E96" s="27" t="str">
        <f>HYPERLINK("https://www.boe.es/gazeta/dias/1807/09/30/pdfs/GMD-1807-88E.pdf","Abrir extraordinaria")</f>
        <v>Abrir extraordinaria</v>
      </c>
    </row>
    <row r="97" spans="1:5">
      <c r="A97" s="21">
        <v>89</v>
      </c>
      <c r="B97" s="18" t="s">
        <v>301</v>
      </c>
      <c r="C97" s="24" t="s">
        <v>11717</v>
      </c>
      <c r="D97" s="24">
        <v>25</v>
      </c>
      <c r="E97" s="27" t="str">
        <f>HYPERLINK("https://www.boe.es/gazeta/dias/1807/10/02/pdfs/GMD-1807-89.pdf","Abrir fascículo")</f>
        <v>Abrir fascículo</v>
      </c>
    </row>
    <row r="98" spans="1:5">
      <c r="A98" s="21" t="s">
        <v>11718</v>
      </c>
      <c r="B98" s="18" t="s">
        <v>301</v>
      </c>
      <c r="C98" s="24" t="s">
        <v>11715</v>
      </c>
      <c r="D98" s="24">
        <v>0</v>
      </c>
      <c r="E98" s="27" t="str">
        <f>HYPERLINK("https://www.boe.es/gazeta/dias/1807/10/02/pdfs/GMD-C-1807-89.pdf","Abrir suplemento")</f>
        <v>Abrir suplemento</v>
      </c>
    </row>
    <row r="99" spans="1:5">
      <c r="A99" s="21">
        <v>90</v>
      </c>
      <c r="B99" s="18" t="s">
        <v>111</v>
      </c>
      <c r="C99" s="24" t="s">
        <v>11719</v>
      </c>
      <c r="D99" s="24">
        <v>76</v>
      </c>
      <c r="E99" s="27" t="str">
        <f>HYPERLINK("https://www.boe.es/gazeta/dias/1807/10/06/pdfs/GMD-1807-90.pdf","Abrir fascículo")</f>
        <v>Abrir fascículo</v>
      </c>
    </row>
    <row r="100" spans="1:5">
      <c r="A100" s="21" t="s">
        <v>11720</v>
      </c>
      <c r="B100" s="18" t="s">
        <v>111</v>
      </c>
      <c r="C100" s="24" t="s">
        <v>11715</v>
      </c>
      <c r="D100" s="24">
        <v>0</v>
      </c>
      <c r="E100" s="27" t="str">
        <f>HYPERLINK("https://www.boe.es/gazeta/dias/1807/10/06/pdfs/GMD-C-1807-90.pdf","Abrir suplemento")</f>
        <v>Abrir suplemento</v>
      </c>
    </row>
    <row r="101" spans="1:5">
      <c r="A101" s="21">
        <v>91</v>
      </c>
      <c r="B101" s="18" t="s">
        <v>224</v>
      </c>
      <c r="C101" s="24" t="s">
        <v>11721</v>
      </c>
      <c r="D101" s="24">
        <v>14</v>
      </c>
      <c r="E101" s="27" t="str">
        <f>HYPERLINK("https://www.boe.es/gazeta/dias/1807/10/09/pdfs/GMD-1807-91.pdf","Abrir fascículo")</f>
        <v>Abrir fascículo</v>
      </c>
    </row>
    <row r="102" spans="1:5">
      <c r="A102" s="21" t="s">
        <v>11722</v>
      </c>
      <c r="B102" s="18" t="s">
        <v>224</v>
      </c>
      <c r="C102" s="24" t="s">
        <v>11715</v>
      </c>
      <c r="D102" s="24">
        <v>0</v>
      </c>
      <c r="E102" s="27" t="str">
        <f>HYPERLINK("https://www.boe.es/gazeta/dias/1807/10/09/pdfs/GMD-C-1807-91.pdf","Abrir suplemento")</f>
        <v>Abrir suplemento</v>
      </c>
    </row>
    <row r="103" spans="1:5">
      <c r="A103" s="21">
        <v>92</v>
      </c>
      <c r="B103" s="18" t="s">
        <v>441</v>
      </c>
      <c r="C103" s="24" t="s">
        <v>11723</v>
      </c>
      <c r="D103" s="24">
        <v>58</v>
      </c>
      <c r="E103" s="27" t="str">
        <f>HYPERLINK("https://www.boe.es/gazeta/dias/1807/10/13/pdfs/GMD-1807-92.pdf","Abrir fascículo")</f>
        <v>Abrir fascículo</v>
      </c>
    </row>
    <row r="104" spans="1:5">
      <c r="A104" s="21" t="s">
        <v>11724</v>
      </c>
      <c r="B104" s="18" t="s">
        <v>441</v>
      </c>
      <c r="C104" s="24" t="s">
        <v>11725</v>
      </c>
      <c r="D104" s="24">
        <v>0</v>
      </c>
      <c r="E104" s="27" t="str">
        <f>HYPERLINK("https://www.boe.es/gazeta/dias/1807/10/13/pdfs/GMD-C-1807-92.pdf","Abrir suplemento")</f>
        <v>Abrir suplemento</v>
      </c>
    </row>
    <row r="105" spans="1:5">
      <c r="A105" s="21">
        <v>93</v>
      </c>
      <c r="B105" s="18" t="s">
        <v>426</v>
      </c>
      <c r="C105" s="24" t="s">
        <v>11726</v>
      </c>
      <c r="D105" s="24">
        <v>69</v>
      </c>
      <c r="E105" s="27" t="str">
        <f>HYPERLINK("https://www.boe.es/gazeta/dias/1807/10/16/pdfs/GMD-1807-93.pdf","Abrir fascículo")</f>
        <v>Abrir fascículo</v>
      </c>
    </row>
    <row r="106" spans="1:5">
      <c r="A106" s="21">
        <v>94</v>
      </c>
      <c r="B106" s="18" t="s">
        <v>654</v>
      </c>
      <c r="C106" s="24" t="s">
        <v>11727</v>
      </c>
      <c r="D106" s="24">
        <v>45</v>
      </c>
      <c r="E106" s="27" t="str">
        <f>HYPERLINK("https://www.boe.es/gazeta/dias/1807/10/20/pdfs/GMD-1807-94.pdf","Abrir fascículo")</f>
        <v>Abrir fascículo</v>
      </c>
    </row>
    <row r="107" spans="1:5">
      <c r="A107" s="21">
        <v>95</v>
      </c>
      <c r="B107" s="18" t="s">
        <v>444</v>
      </c>
      <c r="C107" s="24" t="s">
        <v>11728</v>
      </c>
      <c r="D107" s="24">
        <v>37</v>
      </c>
      <c r="E107" s="27" t="str">
        <f>HYPERLINK("https://www.boe.es/gazeta/dias/1807/10/23/pdfs/GMD-1807-95.pdf","Abrir fascículo")</f>
        <v>Abrir fascículo</v>
      </c>
    </row>
    <row r="108" spans="1:5">
      <c r="A108" s="21">
        <v>96</v>
      </c>
      <c r="B108" s="18" t="s">
        <v>1076</v>
      </c>
      <c r="C108" s="24" t="s">
        <v>11729</v>
      </c>
      <c r="D108" s="24">
        <v>38</v>
      </c>
      <c r="E108" s="27" t="str">
        <f>HYPERLINK("https://www.boe.es/gazeta/dias/1807/10/27/pdfs/GMD-1807-96.pdf","Abrir fascículo")</f>
        <v>Abrir fascículo</v>
      </c>
    </row>
    <row r="109" spans="1:5">
      <c r="A109" s="21">
        <v>97</v>
      </c>
      <c r="B109" s="18" t="s">
        <v>245</v>
      </c>
      <c r="C109" s="24" t="s">
        <v>11730</v>
      </c>
      <c r="D109" s="24">
        <v>56</v>
      </c>
      <c r="E109" s="27" t="str">
        <f>HYPERLINK("https://www.boe.es/gazeta/dias/1807/10/30/pdfs/GMD-1807-97.pdf","Abrir fascículo")</f>
        <v>Abrir fascículo</v>
      </c>
    </row>
    <row r="110" spans="1:5">
      <c r="A110" s="21">
        <v>98</v>
      </c>
      <c r="B110" s="18" t="s">
        <v>1456</v>
      </c>
      <c r="C110" s="24" t="s">
        <v>11731</v>
      </c>
      <c r="D110" s="24">
        <v>34</v>
      </c>
      <c r="E110" s="27" t="str">
        <f>HYPERLINK("https://www.boe.es/gazeta/dias/1807/11/03/pdfs/GMD-1807-98.pdf","Abrir fascículo")</f>
        <v>Abrir fascículo</v>
      </c>
    </row>
    <row r="111" spans="1:5">
      <c r="A111" s="21">
        <v>99</v>
      </c>
      <c r="B111" s="18" t="s">
        <v>461</v>
      </c>
      <c r="C111" s="24" t="s">
        <v>11732</v>
      </c>
      <c r="D111" s="24">
        <v>37</v>
      </c>
      <c r="E111" s="27" t="str">
        <f>HYPERLINK("https://www.boe.es/gazeta/dias/1807/11/06/pdfs/GMD-1807-99.pdf","Abrir fascículo")</f>
        <v>Abrir fascículo</v>
      </c>
    </row>
    <row r="112" spans="1:5">
      <c r="A112" s="21">
        <v>100</v>
      </c>
      <c r="B112" s="18" t="s">
        <v>179</v>
      </c>
      <c r="C112" s="24" t="s">
        <v>11733</v>
      </c>
      <c r="D112" s="24">
        <v>36</v>
      </c>
      <c r="E112" s="27" t="str">
        <f>HYPERLINK("https://www.boe.es/gazeta/dias/1807/11/10/pdfs/GMD-1807-100.pdf","Abrir fascículo")</f>
        <v>Abrir fascículo</v>
      </c>
    </row>
    <row r="113" spans="1:5">
      <c r="A113" s="21">
        <v>101</v>
      </c>
      <c r="B113" s="18" t="s">
        <v>1177</v>
      </c>
      <c r="C113" s="24" t="s">
        <v>11734</v>
      </c>
      <c r="D113" s="24">
        <v>24</v>
      </c>
      <c r="E113" s="27" t="str">
        <f>HYPERLINK("https://www.boe.es/gazeta/dias/1807/11/13/pdfs/GMD-1807-101.pdf","Abrir fascículo")</f>
        <v>Abrir fascículo</v>
      </c>
    </row>
    <row r="114" spans="1:5">
      <c r="A114" s="21">
        <v>102</v>
      </c>
      <c r="B114" s="18" t="s">
        <v>296</v>
      </c>
      <c r="C114" s="24" t="s">
        <v>11735</v>
      </c>
      <c r="D114" s="24">
        <v>30</v>
      </c>
      <c r="E114" s="27" t="str">
        <f>HYPERLINK("https://www.boe.es/gazeta/dias/1807/11/17/pdfs/GMD-1807-102.pdf","Abrir fascículo")</f>
        <v>Abrir fascículo</v>
      </c>
    </row>
    <row r="115" spans="1:5">
      <c r="A115" s="21">
        <v>103</v>
      </c>
      <c r="B115" s="18" t="s">
        <v>754</v>
      </c>
      <c r="C115" s="24" t="s">
        <v>11736</v>
      </c>
      <c r="D115" s="24">
        <v>38</v>
      </c>
      <c r="E115" s="27" t="str">
        <f>HYPERLINK("https://www.boe.es/gazeta/dias/1807/11/20/pdfs/GMD-1807-103.pdf","Abrir fascículo")</f>
        <v>Abrir fascículo</v>
      </c>
    </row>
    <row r="116" spans="1:5">
      <c r="A116" s="21">
        <v>104</v>
      </c>
      <c r="B116" s="18" t="s">
        <v>275</v>
      </c>
      <c r="C116" s="24" t="s">
        <v>11737</v>
      </c>
      <c r="D116" s="24">
        <v>25</v>
      </c>
      <c r="E116" s="27" t="str">
        <f>HYPERLINK("https://www.boe.es/gazeta/dias/1807/11/24/pdfs/GMD-1807-104.pdf","Abrir fascículo")</f>
        <v>Abrir fascículo</v>
      </c>
    </row>
    <row r="117" spans="1:5">
      <c r="A117" s="21" t="s">
        <v>315</v>
      </c>
      <c r="B117" s="18" t="s">
        <v>314</v>
      </c>
      <c r="C117" s="24" t="s">
        <v>11738</v>
      </c>
      <c r="D117" s="24">
        <v>42</v>
      </c>
      <c r="E117" s="27" t="str">
        <f>HYPERLINK("https://www.boe.es/gazeta/dias/1807/11/26/pdfs/GMD-1807-105E.pdf","Abrir extraordinaria")</f>
        <v>Abrir extraordinaria</v>
      </c>
    </row>
    <row r="118" spans="1:5">
      <c r="A118" s="21">
        <v>106</v>
      </c>
      <c r="B118" s="18" t="s">
        <v>686</v>
      </c>
      <c r="C118" s="24" t="s">
        <v>11739</v>
      </c>
      <c r="D118" s="24">
        <v>36</v>
      </c>
      <c r="E118" s="27" t="str">
        <f>HYPERLINK("https://www.boe.es/gazeta/dias/1807/11/27/pdfs/GMD-1807-106.pdf","Abrir fascículo")</f>
        <v>Abrir fascículo</v>
      </c>
    </row>
    <row r="119" spans="1:5">
      <c r="A119" s="21">
        <v>107</v>
      </c>
      <c r="B119" s="18" t="s">
        <v>309</v>
      </c>
      <c r="C119" s="24" t="s">
        <v>11740</v>
      </c>
      <c r="D119" s="24">
        <v>54</v>
      </c>
      <c r="E119" s="27" t="str">
        <f>HYPERLINK("https://www.boe.es/gazeta/dias/1807/12/01/pdfs/GMD-1807-107.pdf","Abrir fascículo")</f>
        <v>Abrir fascículo</v>
      </c>
    </row>
    <row r="120" spans="1:5">
      <c r="A120" s="21">
        <v>108</v>
      </c>
      <c r="B120" s="18" t="s">
        <v>327</v>
      </c>
      <c r="C120" s="24" t="s">
        <v>11741</v>
      </c>
      <c r="D120" s="24">
        <v>34</v>
      </c>
      <c r="E120" s="27" t="str">
        <f>HYPERLINK("https://www.boe.es/gazeta/dias/1807/12/04/pdfs/GMD-1807-108.pdf","Abrir fascículo")</f>
        <v>Abrir fascículo</v>
      </c>
    </row>
    <row r="121" spans="1:5">
      <c r="A121" s="21">
        <v>109</v>
      </c>
      <c r="B121" s="18" t="s">
        <v>91</v>
      </c>
      <c r="C121" s="24" t="s">
        <v>11742</v>
      </c>
      <c r="D121" s="24">
        <v>60</v>
      </c>
      <c r="E121" s="27" t="str">
        <f>HYPERLINK("https://www.boe.es/gazeta/dias/1807/12/08/pdfs/GMD-1807-109.pdf","Abrir fascículo")</f>
        <v>Abrir fascículo</v>
      </c>
    </row>
    <row r="122" spans="1:5">
      <c r="A122" s="21">
        <v>110</v>
      </c>
      <c r="B122" s="18" t="s">
        <v>139</v>
      </c>
      <c r="C122" s="24" t="s">
        <v>11743</v>
      </c>
      <c r="D122" s="24">
        <v>54</v>
      </c>
      <c r="E122" s="27" t="str">
        <f>HYPERLINK("https://www.boe.es/gazeta/dias/1807/12/11/pdfs/GMD-1807-110.pdf","Abrir fascículo")</f>
        <v>Abrir fascículo</v>
      </c>
    </row>
    <row r="123" spans="1:5">
      <c r="A123" s="21">
        <v>111</v>
      </c>
      <c r="B123" s="18" t="s">
        <v>384</v>
      </c>
      <c r="C123" s="24" t="s">
        <v>11744</v>
      </c>
      <c r="D123" s="24">
        <v>38</v>
      </c>
      <c r="E123" s="27" t="str">
        <f>HYPERLINK("https://www.boe.es/gazeta/dias/1807/12/15/pdfs/GMD-1807-111.pdf","Abrir fascículo")</f>
        <v>Abrir fascículo</v>
      </c>
    </row>
    <row r="124" spans="1:5">
      <c r="A124" s="21">
        <v>112</v>
      </c>
      <c r="B124" s="18" t="s">
        <v>350</v>
      </c>
      <c r="C124" s="24" t="s">
        <v>11745</v>
      </c>
      <c r="D124" s="24">
        <v>30</v>
      </c>
      <c r="E124" s="27" t="str">
        <f>HYPERLINK("https://www.boe.es/gazeta/dias/1807/12/18/pdfs/GMD-1807-112.pdf","Abrir fascículo")</f>
        <v>Abrir fascículo</v>
      </c>
    </row>
    <row r="125" spans="1:5">
      <c r="A125" s="21">
        <v>113</v>
      </c>
      <c r="B125" s="18" t="s">
        <v>361</v>
      </c>
      <c r="C125" s="24" t="s">
        <v>11746</v>
      </c>
      <c r="D125" s="24">
        <v>48</v>
      </c>
      <c r="E125" s="27" t="str">
        <f>HYPERLINK("https://www.boe.es/gazeta/dias/1807/12/22/pdfs/GMD-1807-113.pdf","Abrir fascículo")</f>
        <v>Abrir fascículo</v>
      </c>
    </row>
    <row r="126" spans="1:5">
      <c r="A126" s="21">
        <v>114</v>
      </c>
      <c r="B126" s="18" t="s">
        <v>1340</v>
      </c>
      <c r="C126" s="24" t="s">
        <v>11747</v>
      </c>
      <c r="D126" s="24">
        <v>14</v>
      </c>
      <c r="E126" s="27" t="str">
        <f>HYPERLINK("https://www.boe.es/gazeta/dias/1807/12/25/pdfs/GMD-1807-114.pdf","Abrir fascículo")</f>
        <v>Abrir fascículo</v>
      </c>
    </row>
    <row r="127" spans="1:5">
      <c r="A127" s="22">
        <v>115</v>
      </c>
      <c r="B127" s="19" t="s">
        <v>575</v>
      </c>
      <c r="C127" s="25" t="s">
        <v>11748</v>
      </c>
      <c r="D127" s="25">
        <v>14</v>
      </c>
      <c r="E127" s="28" t="str">
        <f>HYPERLINK("https://www.boe.es/gazeta/dias/1807/12/29/pdfs/GMD-1807-115.pdf","Abrir fascículo")</f>
        <v>Abrir fascículo</v>
      </c>
    </row>
    <row r="129" spans="1:5" ht="48" customHeight="1">
      <c r="A129" s="29" t="s">
        <v>11749</v>
      </c>
      <c r="B129" s="34" t="s">
        <v>11750</v>
      </c>
      <c r="C129" s="34"/>
      <c r="D129" s="34"/>
      <c r="E129" s="34"/>
    </row>
    <row r="130" spans="1:5" ht="48" customHeight="1">
      <c r="A130" s="29" t="s">
        <v>11751</v>
      </c>
      <c r="B130" s="34" t="s">
        <v>11752</v>
      </c>
      <c r="C130" s="34"/>
      <c r="D130" s="34"/>
      <c r="E130" s="34"/>
    </row>
    <row r="131" spans="1:5" ht="48" customHeight="1">
      <c r="A131" s="29" t="s">
        <v>11753</v>
      </c>
      <c r="B131" s="34" t="s">
        <v>11754</v>
      </c>
      <c r="C131" s="34"/>
      <c r="D131" s="34"/>
      <c r="E131" s="34"/>
    </row>
    <row r="132" spans="1:5" ht="48" customHeight="1">
      <c r="A132" s="29" t="s">
        <v>11755</v>
      </c>
      <c r="B132" s="34" t="s">
        <v>11756</v>
      </c>
      <c r="C132" s="34"/>
      <c r="D132" s="34"/>
      <c r="E132" s="34"/>
    </row>
    <row r="133" spans="1:5" ht="48" customHeight="1">
      <c r="A133" s="29" t="s">
        <v>11757</v>
      </c>
      <c r="B133" s="34" t="s">
        <v>11758</v>
      </c>
      <c r="C133" s="34"/>
      <c r="D133" s="34"/>
      <c r="E133" s="34"/>
    </row>
    <row r="134" spans="1:5" ht="48" customHeight="1">
      <c r="A134" s="29" t="s">
        <v>11759</v>
      </c>
      <c r="B134" s="34" t="s">
        <v>11760</v>
      </c>
      <c r="C134" s="34"/>
      <c r="D134" s="34"/>
      <c r="E134" s="34"/>
    </row>
    <row r="135" spans="1:5" ht="48" customHeight="1">
      <c r="A135" s="29" t="s">
        <v>11761</v>
      </c>
      <c r="B135" s="34" t="s">
        <v>11762</v>
      </c>
      <c r="C135" s="34"/>
      <c r="D135" s="34"/>
      <c r="E135" s="34"/>
    </row>
    <row r="136" spans="1:5" ht="48" customHeight="1">
      <c r="A136" s="29" t="s">
        <v>11763</v>
      </c>
      <c r="B136" s="34" t="s">
        <v>11764</v>
      </c>
      <c r="C136" s="34"/>
      <c r="D136" s="34"/>
      <c r="E136" s="34"/>
    </row>
    <row r="137" spans="1:5" ht="48" customHeight="1">
      <c r="A137" s="29" t="s">
        <v>11765</v>
      </c>
      <c r="B137" s="34" t="s">
        <v>11766</v>
      </c>
      <c r="C137" s="34"/>
      <c r="D137" s="34"/>
      <c r="E137" s="34"/>
    </row>
    <row r="138" spans="1:5" ht="48" customHeight="1">
      <c r="A138" s="29" t="s">
        <v>11767</v>
      </c>
      <c r="B138" s="34" t="s">
        <v>11768</v>
      </c>
      <c r="C138" s="34"/>
      <c r="D138" s="34"/>
      <c r="E138" s="34"/>
    </row>
    <row r="139" spans="1:5" ht="48" customHeight="1">
      <c r="A139" s="29" t="s">
        <v>11769</v>
      </c>
      <c r="B139" s="34" t="s">
        <v>11770</v>
      </c>
      <c r="C139" s="34"/>
      <c r="D139" s="34"/>
      <c r="E139" s="34"/>
    </row>
  </sheetData>
  <mergeCells count="12">
    <mergeCell ref="B138:E138"/>
    <mergeCell ref="B139:E139"/>
    <mergeCell ref="B133:E133"/>
    <mergeCell ref="B134:E134"/>
    <mergeCell ref="B135:E135"/>
    <mergeCell ref="B136:E136"/>
    <mergeCell ref="B137:E137"/>
    <mergeCell ref="A1:E1"/>
    <mergeCell ref="B129:E129"/>
    <mergeCell ref="B130:E130"/>
    <mergeCell ref="B131:E131"/>
    <mergeCell ref="B132:E13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2026-09-26T10:00:07Z</dcterms:created>
  <dcterms:modified xsi:type="dcterms:W3CDTF">2026-09-26T10:00:07Z</dcterms:modified>
</cp:coreProperties>
</file>